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mpconsulting-my.sharepoint.com/personal/sdeschenes_fmpconsulting_com/Documents/Documents/FAI/Quarterly Metrics/"/>
    </mc:Choice>
  </mc:AlternateContent>
  <xr:revisionPtr revIDLastSave="307" documentId="8_{E11D4478-C93F-4BCB-8781-DE901BDF99AD}" xr6:coauthVersionLast="47" xr6:coauthVersionMax="47" xr10:uidLastSave="{EEC676D8-C192-43E8-B13E-9F5B5FEDFED7}"/>
  <bookViews>
    <workbookView showSheetTabs="0" xWindow="33720" yWindow="-120" windowWidth="29040" windowHeight="15720" tabRatio="821" xr2:uid="{D23B6FB1-8271-4A84-B5FF-F61C1D4C2E72}"/>
  </bookViews>
  <sheets>
    <sheet name="Introduction Page" sheetId="6" r:id="rId1"/>
    <sheet name="Historical Data" sheetId="1" r:id="rId2"/>
    <sheet name="Chart Data" sheetId="2" r:id="rId3"/>
    <sheet name="GS-1101 Trend" sheetId="7" r:id="rId4"/>
    <sheet name="GS-1102 Trend" sheetId="8" r:id="rId5"/>
    <sheet name="1101 Personnel Actions" sheetId="14" r:id="rId6"/>
    <sheet name="1102 Personnel Actions" sheetId="9" r:id="rId7"/>
    <sheet name="Total Attrition" sheetId="10" r:id="rId8"/>
    <sheet name="Attrition by Retirement" sheetId="11" r:id="rId9"/>
    <sheet name="Accessions" sheetId="12" r:id="rId10"/>
    <sheet name="Transfers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  <c r="D15" i="6"/>
  <c r="E15" i="6"/>
  <c r="E14" i="6"/>
  <c r="D14" i="6"/>
  <c r="C14" i="6"/>
  <c r="C13" i="6"/>
  <c r="D13" i="6"/>
  <c r="E13" i="6"/>
  <c r="D12" i="6"/>
  <c r="C12" i="6"/>
  <c r="C11" i="6"/>
  <c r="D11" i="6"/>
  <c r="C9" i="6"/>
  <c r="D9" i="6"/>
  <c r="D8" i="6"/>
  <c r="C8" i="6"/>
  <c r="AQ52" i="2"/>
  <c r="AO52" i="2"/>
  <c r="AM52" i="2"/>
  <c r="AK52" i="2"/>
  <c r="AI51" i="2"/>
  <c r="AI52" i="2"/>
  <c r="AI6" i="1" s="1"/>
  <c r="AG52" i="2"/>
  <c r="AG51" i="2"/>
  <c r="X52" i="2"/>
  <c r="Y52" i="2"/>
  <c r="Y6" i="1" s="1"/>
  <c r="Z52" i="2"/>
  <c r="AA52" i="2" s="1"/>
  <c r="AA6" i="1" s="1"/>
  <c r="AC52" i="2"/>
  <c r="AC6" i="1" s="1"/>
  <c r="AE52" i="2"/>
  <c r="AE6" i="1" s="1"/>
  <c r="Q52" i="2"/>
  <c r="R52" i="2" s="1"/>
  <c r="R6" i="1" s="1"/>
  <c r="T52" i="2"/>
  <c r="V52" i="2"/>
  <c r="K52" i="2"/>
  <c r="L52" i="2" s="1"/>
  <c r="L6" i="1" s="1"/>
  <c r="N52" i="2"/>
  <c r="P52" i="2"/>
  <c r="X4" i="2"/>
  <c r="E6" i="1"/>
  <c r="G6" i="1"/>
  <c r="H6" i="1"/>
  <c r="J6" i="1"/>
  <c r="M6" i="1"/>
  <c r="N6" i="1"/>
  <c r="O6" i="1"/>
  <c r="P6" i="1"/>
  <c r="Q6" i="1"/>
  <c r="S6" i="1"/>
  <c r="T6" i="1"/>
  <c r="U6" i="1"/>
  <c r="V6" i="1"/>
  <c r="X6" i="1"/>
  <c r="Z6" i="1"/>
  <c r="AB6" i="1"/>
  <c r="AD6" i="1"/>
  <c r="AH6" i="1"/>
  <c r="AJ6" i="1"/>
  <c r="AN6" i="1"/>
  <c r="AP6" i="1"/>
  <c r="D52" i="2"/>
  <c r="D6" i="1" s="1"/>
  <c r="F52" i="2"/>
  <c r="I52" i="2"/>
  <c r="I6" i="1" s="1"/>
  <c r="AF52" i="2"/>
  <c r="AF6" i="1" s="1"/>
  <c r="AL52" i="2"/>
  <c r="AL6" i="1" s="1"/>
  <c r="L5" i="2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B11" i="1"/>
  <c r="B10" i="1"/>
  <c r="B9" i="1"/>
  <c r="AQ50" i="2"/>
  <c r="AQ51" i="2"/>
  <c r="AO50" i="2"/>
  <c r="AO51" i="2"/>
  <c r="AK50" i="2"/>
  <c r="AK51" i="2"/>
  <c r="N31" i="16" s="1"/>
  <c r="AI50" i="2"/>
  <c r="AG50" i="2"/>
  <c r="AE50" i="2"/>
  <c r="AE51" i="2"/>
  <c r="AC50" i="2"/>
  <c r="AC51" i="2"/>
  <c r="AK6" i="1" s="1"/>
  <c r="Z50" i="2"/>
  <c r="AA50" i="2" s="1"/>
  <c r="M27" i="11" s="1"/>
  <c r="Z51" i="2"/>
  <c r="N26" i="11" s="1"/>
  <c r="X50" i="2"/>
  <c r="Y50" i="2"/>
  <c r="X51" i="2"/>
  <c r="Y51" i="2"/>
  <c r="V50" i="2"/>
  <c r="V51" i="2"/>
  <c r="T50" i="2"/>
  <c r="T51" i="2"/>
  <c r="Q50" i="2"/>
  <c r="R50" i="2" s="1"/>
  <c r="Q51" i="2"/>
  <c r="W51" i="2" s="1"/>
  <c r="P50" i="2"/>
  <c r="P51" i="2"/>
  <c r="N50" i="2"/>
  <c r="N51" i="2"/>
  <c r="K50" i="2"/>
  <c r="L50" i="2" s="1"/>
  <c r="K51" i="2"/>
  <c r="D51" i="2"/>
  <c r="F51" i="2"/>
  <c r="I51" i="2"/>
  <c r="AF51" i="2"/>
  <c r="AL51" i="2"/>
  <c r="D50" i="2"/>
  <c r="F50" i="2"/>
  <c r="I50" i="2"/>
  <c r="AF50" i="2"/>
  <c r="AL50" i="2"/>
  <c r="AM50" i="2" s="1"/>
  <c r="D52" i="1"/>
  <c r="D7" i="1"/>
  <c r="E7" i="1"/>
  <c r="F7" i="1"/>
  <c r="G7" i="1"/>
  <c r="H7" i="1"/>
  <c r="I7" i="1"/>
  <c r="J7" i="1"/>
  <c r="M7" i="1"/>
  <c r="O7" i="1"/>
  <c r="S7" i="1"/>
  <c r="U7" i="1"/>
  <c r="AB7" i="1"/>
  <c r="AD7" i="1"/>
  <c r="AH7" i="1"/>
  <c r="AI7" i="1"/>
  <c r="AJ7" i="1"/>
  <c r="AK7" i="1"/>
  <c r="AN7" i="1"/>
  <c r="AP7" i="1"/>
  <c r="AQ49" i="2"/>
  <c r="AQ7" i="1" s="1"/>
  <c r="AO49" i="2"/>
  <c r="AO7" i="1" s="1"/>
  <c r="AK49" i="2"/>
  <c r="AI49" i="2"/>
  <c r="AG48" i="2"/>
  <c r="AE49" i="2"/>
  <c r="AE7" i="1" s="1"/>
  <c r="AC49" i="2"/>
  <c r="X49" i="2"/>
  <c r="Y49" i="2"/>
  <c r="Z49" i="2"/>
  <c r="AA49" i="2" s="1"/>
  <c r="V49" i="2"/>
  <c r="T49" i="2"/>
  <c r="T7" i="1" s="1"/>
  <c r="Q49" i="2"/>
  <c r="R49" i="2" s="1"/>
  <c r="P49" i="2"/>
  <c r="P7" i="1" s="1"/>
  <c r="N49" i="2"/>
  <c r="N7" i="1" s="1"/>
  <c r="K49" i="2"/>
  <c r="L49" i="2" s="1"/>
  <c r="D49" i="2"/>
  <c r="F49" i="2"/>
  <c r="I49" i="2"/>
  <c r="AF49" i="2"/>
  <c r="AG49" i="2" s="1"/>
  <c r="L27" i="16" s="1"/>
  <c r="AL49" i="2"/>
  <c r="AM49" i="2" s="1"/>
  <c r="AQ48" i="2"/>
  <c r="K37" i="16" s="1"/>
  <c r="AQ47" i="2"/>
  <c r="O28" i="7"/>
  <c r="D8" i="1"/>
  <c r="E8" i="1"/>
  <c r="F8" i="1"/>
  <c r="G8" i="1"/>
  <c r="H8" i="1"/>
  <c r="I8" i="1"/>
  <c r="J8" i="1"/>
  <c r="M8" i="1"/>
  <c r="O8" i="1"/>
  <c r="S8" i="1"/>
  <c r="U8" i="1"/>
  <c r="AB8" i="1"/>
  <c r="AD8" i="1"/>
  <c r="AH8" i="1"/>
  <c r="AJ8" i="1"/>
  <c r="AN8" i="1"/>
  <c r="AP8" i="1"/>
  <c r="K48" i="2"/>
  <c r="L48" i="2" s="1"/>
  <c r="L8" i="1" s="1"/>
  <c r="N48" i="2"/>
  <c r="N8" i="1" s="1"/>
  <c r="P48" i="2"/>
  <c r="K31" i="12" s="1"/>
  <c r="Q48" i="2"/>
  <c r="Q8" i="1" s="1"/>
  <c r="T48" i="2"/>
  <c r="V48" i="2"/>
  <c r="V8" i="1" s="1"/>
  <c r="X48" i="2"/>
  <c r="Y48" i="2"/>
  <c r="Z48" i="2"/>
  <c r="AA48" i="2" s="1"/>
  <c r="AA8" i="1" s="1"/>
  <c r="AC48" i="2"/>
  <c r="AE48" i="2"/>
  <c r="AE8" i="1" s="1"/>
  <c r="AF48" i="2"/>
  <c r="AG8" i="1" s="1"/>
  <c r="AI48" i="2"/>
  <c r="AI8" i="1" s="1"/>
  <c r="AK48" i="2"/>
  <c r="AK8" i="1" s="1"/>
  <c r="AL48" i="2"/>
  <c r="AM48" i="2" s="1"/>
  <c r="AO48" i="2"/>
  <c r="AO8" i="1" s="1"/>
  <c r="D48" i="2"/>
  <c r="F48" i="2"/>
  <c r="I48" i="2"/>
  <c r="E26" i="16"/>
  <c r="F26" i="16"/>
  <c r="G26" i="16"/>
  <c r="H26" i="16"/>
  <c r="I26" i="16"/>
  <c r="J26" i="16"/>
  <c r="K26" i="16"/>
  <c r="L26" i="16"/>
  <c r="M26" i="16"/>
  <c r="E27" i="16"/>
  <c r="F27" i="16"/>
  <c r="G27" i="16"/>
  <c r="H27" i="16"/>
  <c r="I27" i="16"/>
  <c r="J27" i="16"/>
  <c r="K27" i="16"/>
  <c r="M27" i="16"/>
  <c r="E28" i="16"/>
  <c r="F28" i="16"/>
  <c r="G28" i="16"/>
  <c r="H28" i="16"/>
  <c r="I28" i="16"/>
  <c r="J28" i="16"/>
  <c r="K28" i="16"/>
  <c r="L28" i="16"/>
  <c r="M28" i="16"/>
  <c r="N28" i="16"/>
  <c r="O28" i="16"/>
  <c r="E29" i="16"/>
  <c r="F29" i="16"/>
  <c r="G29" i="16"/>
  <c r="H29" i="16"/>
  <c r="I29" i="16"/>
  <c r="J29" i="16"/>
  <c r="K29" i="16"/>
  <c r="L29" i="16"/>
  <c r="M29" i="16"/>
  <c r="E30" i="16"/>
  <c r="F30" i="16"/>
  <c r="G30" i="16"/>
  <c r="H30" i="16"/>
  <c r="I30" i="16"/>
  <c r="J30" i="16"/>
  <c r="K30" i="16"/>
  <c r="L30" i="16"/>
  <c r="M30" i="16"/>
  <c r="N30" i="16"/>
  <c r="O30" i="16"/>
  <c r="E31" i="16"/>
  <c r="F31" i="16"/>
  <c r="G31" i="16"/>
  <c r="H31" i="16"/>
  <c r="I31" i="16"/>
  <c r="J31" i="16"/>
  <c r="K31" i="16"/>
  <c r="L31" i="16"/>
  <c r="M31" i="16"/>
  <c r="E32" i="16"/>
  <c r="F32" i="16"/>
  <c r="G32" i="16"/>
  <c r="H32" i="16"/>
  <c r="I32" i="16"/>
  <c r="J32" i="16"/>
  <c r="K32" i="16"/>
  <c r="E33" i="16"/>
  <c r="F33" i="16"/>
  <c r="G33" i="16"/>
  <c r="H33" i="16"/>
  <c r="I33" i="16"/>
  <c r="J33" i="16"/>
  <c r="K33" i="16"/>
  <c r="E34" i="16"/>
  <c r="F34" i="16"/>
  <c r="G34" i="16"/>
  <c r="H34" i="16"/>
  <c r="I34" i="16"/>
  <c r="J34" i="16"/>
  <c r="K34" i="16"/>
  <c r="L34" i="16"/>
  <c r="M34" i="16"/>
  <c r="N34" i="16"/>
  <c r="O34" i="16"/>
  <c r="E35" i="16"/>
  <c r="F35" i="16"/>
  <c r="G35" i="16"/>
  <c r="H35" i="16"/>
  <c r="I35" i="16"/>
  <c r="J35" i="16"/>
  <c r="L35" i="16"/>
  <c r="E36" i="16"/>
  <c r="F36" i="16"/>
  <c r="G36" i="16"/>
  <c r="H36" i="16"/>
  <c r="I36" i="16"/>
  <c r="J36" i="16"/>
  <c r="K36" i="16"/>
  <c r="L36" i="16"/>
  <c r="M36" i="16"/>
  <c r="N36" i="16"/>
  <c r="O36" i="16"/>
  <c r="E37" i="16"/>
  <c r="F37" i="16"/>
  <c r="G37" i="16"/>
  <c r="H37" i="16"/>
  <c r="I37" i="16"/>
  <c r="J37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6" i="12"/>
  <c r="E26" i="12"/>
  <c r="F26" i="12"/>
  <c r="G26" i="12"/>
  <c r="H26" i="12"/>
  <c r="I26" i="12"/>
  <c r="J26" i="12"/>
  <c r="K26" i="12"/>
  <c r="E27" i="12"/>
  <c r="F27" i="12"/>
  <c r="G27" i="12"/>
  <c r="H27" i="12"/>
  <c r="I27" i="12"/>
  <c r="J27" i="12"/>
  <c r="K27" i="12"/>
  <c r="E28" i="12"/>
  <c r="F28" i="12"/>
  <c r="G28" i="12"/>
  <c r="H28" i="12"/>
  <c r="I28" i="12"/>
  <c r="J28" i="12"/>
  <c r="K28" i="12"/>
  <c r="L28" i="12"/>
  <c r="M28" i="12"/>
  <c r="N28" i="12"/>
  <c r="O28" i="12"/>
  <c r="E29" i="12"/>
  <c r="F29" i="12"/>
  <c r="G29" i="12"/>
  <c r="H29" i="12"/>
  <c r="I29" i="12"/>
  <c r="J29" i="12"/>
  <c r="K29" i="12"/>
  <c r="M29" i="12"/>
  <c r="E30" i="12"/>
  <c r="F30" i="12"/>
  <c r="G30" i="12"/>
  <c r="H30" i="12"/>
  <c r="I30" i="12"/>
  <c r="J30" i="12"/>
  <c r="K30" i="12"/>
  <c r="L30" i="12"/>
  <c r="M30" i="12"/>
  <c r="N30" i="12"/>
  <c r="O30" i="12"/>
  <c r="E31" i="12"/>
  <c r="F31" i="12"/>
  <c r="G31" i="12"/>
  <c r="H31" i="12"/>
  <c r="I31" i="12"/>
  <c r="J31" i="12"/>
  <c r="D31" i="12"/>
  <c r="D30" i="12"/>
  <c r="D29" i="12"/>
  <c r="D28" i="12"/>
  <c r="D27" i="12"/>
  <c r="E26" i="11"/>
  <c r="F26" i="11"/>
  <c r="G26" i="11"/>
  <c r="H26" i="11"/>
  <c r="I26" i="11"/>
  <c r="J26" i="11"/>
  <c r="K26" i="11"/>
  <c r="L26" i="11"/>
  <c r="E27" i="11"/>
  <c r="F27" i="11"/>
  <c r="G27" i="11"/>
  <c r="H27" i="11"/>
  <c r="I27" i="11"/>
  <c r="J27" i="11"/>
  <c r="K27" i="11"/>
  <c r="L27" i="11"/>
  <c r="E28" i="11"/>
  <c r="F28" i="11"/>
  <c r="G28" i="11"/>
  <c r="H28" i="11"/>
  <c r="I28" i="11"/>
  <c r="J28" i="11"/>
  <c r="K28" i="11"/>
  <c r="L28" i="11"/>
  <c r="M28" i="11"/>
  <c r="N28" i="11"/>
  <c r="O28" i="11"/>
  <c r="E29" i="11"/>
  <c r="F29" i="11"/>
  <c r="G29" i="11"/>
  <c r="H29" i="11"/>
  <c r="I29" i="11"/>
  <c r="J29" i="11"/>
  <c r="K29" i="11"/>
  <c r="L29" i="11"/>
  <c r="M29" i="11"/>
  <c r="N29" i="11"/>
  <c r="E30" i="11"/>
  <c r="F30" i="11"/>
  <c r="G30" i="11"/>
  <c r="H30" i="11"/>
  <c r="I30" i="11"/>
  <c r="J30" i="11"/>
  <c r="K30" i="11"/>
  <c r="L30" i="11"/>
  <c r="M30" i="11"/>
  <c r="N30" i="11"/>
  <c r="O30" i="11"/>
  <c r="E31" i="11"/>
  <c r="F31" i="11"/>
  <c r="G31" i="11"/>
  <c r="H31" i="11"/>
  <c r="I31" i="11"/>
  <c r="J31" i="11"/>
  <c r="K31" i="11"/>
  <c r="L31" i="11"/>
  <c r="M31" i="11"/>
  <c r="N31" i="11"/>
  <c r="D31" i="11"/>
  <c r="D30" i="11"/>
  <c r="D29" i="11"/>
  <c r="D28" i="11"/>
  <c r="D27" i="11"/>
  <c r="D26" i="11"/>
  <c r="E26" i="10"/>
  <c r="F26" i="10"/>
  <c r="G26" i="10"/>
  <c r="H26" i="10"/>
  <c r="I26" i="10"/>
  <c r="J26" i="10"/>
  <c r="E27" i="10"/>
  <c r="F27" i="10"/>
  <c r="G27" i="10"/>
  <c r="H27" i="10"/>
  <c r="I27" i="10"/>
  <c r="J27" i="10"/>
  <c r="E28" i="10"/>
  <c r="F28" i="10"/>
  <c r="G28" i="10"/>
  <c r="H28" i="10"/>
  <c r="I28" i="10"/>
  <c r="J28" i="10"/>
  <c r="K28" i="10"/>
  <c r="L28" i="10"/>
  <c r="M28" i="10"/>
  <c r="N28" i="10"/>
  <c r="O28" i="10"/>
  <c r="E29" i="10"/>
  <c r="F29" i="10"/>
  <c r="G29" i="10"/>
  <c r="H29" i="10"/>
  <c r="I29" i="10"/>
  <c r="J29" i="10"/>
  <c r="K29" i="10"/>
  <c r="N29" i="10"/>
  <c r="E30" i="10"/>
  <c r="F30" i="10"/>
  <c r="G30" i="10"/>
  <c r="H30" i="10"/>
  <c r="I30" i="10"/>
  <c r="J30" i="10"/>
  <c r="K30" i="10"/>
  <c r="L30" i="10"/>
  <c r="M30" i="10"/>
  <c r="N30" i="10"/>
  <c r="O30" i="10"/>
  <c r="E31" i="10"/>
  <c r="F31" i="10"/>
  <c r="G31" i="10"/>
  <c r="H31" i="10"/>
  <c r="I31" i="10"/>
  <c r="J31" i="10"/>
  <c r="L31" i="10"/>
  <c r="D31" i="10"/>
  <c r="D30" i="10"/>
  <c r="D29" i="10"/>
  <c r="D28" i="10"/>
  <c r="D27" i="10"/>
  <c r="D26" i="10"/>
  <c r="D26" i="9"/>
  <c r="AM8" i="1" l="1"/>
  <c r="K35" i="16"/>
  <c r="AO6" i="1"/>
  <c r="M26" i="11"/>
  <c r="P8" i="1"/>
  <c r="W50" i="2"/>
  <c r="AM6" i="1"/>
  <c r="AG6" i="1"/>
  <c r="W52" i="2"/>
  <c r="W6" i="1" s="1"/>
  <c r="K6" i="1"/>
  <c r="C50" i="2"/>
  <c r="C52" i="2"/>
  <c r="B52" i="2" s="1"/>
  <c r="B6" i="1" s="1"/>
  <c r="F6" i="1"/>
  <c r="AC7" i="1"/>
  <c r="AQ6" i="1"/>
  <c r="C51" i="2"/>
  <c r="Z7" i="1"/>
  <c r="AL7" i="1"/>
  <c r="V7" i="1"/>
  <c r="Q7" i="1"/>
  <c r="AF7" i="1"/>
  <c r="Y7" i="1"/>
  <c r="X7" i="1"/>
  <c r="K7" i="1"/>
  <c r="AC8" i="1"/>
  <c r="W49" i="2"/>
  <c r="C49" i="2"/>
  <c r="B49" i="2" s="1"/>
  <c r="Z8" i="1"/>
  <c r="AL8" i="1"/>
  <c r="T8" i="1"/>
  <c r="Y8" i="1"/>
  <c r="AF8" i="1"/>
  <c r="X8" i="1"/>
  <c r="K8" i="1"/>
  <c r="W48" i="2"/>
  <c r="R48" i="2"/>
  <c r="C48" i="2"/>
  <c r="B48" i="2" s="1"/>
  <c r="E26" i="9"/>
  <c r="F26" i="9"/>
  <c r="G26" i="9"/>
  <c r="H26" i="9"/>
  <c r="I26" i="9"/>
  <c r="J26" i="9"/>
  <c r="K26" i="9"/>
  <c r="L26" i="9"/>
  <c r="M26" i="9"/>
  <c r="N26" i="9"/>
  <c r="O26" i="9"/>
  <c r="E27" i="9"/>
  <c r="F27" i="9"/>
  <c r="G27" i="9"/>
  <c r="H27" i="9"/>
  <c r="I27" i="9"/>
  <c r="J27" i="9"/>
  <c r="K27" i="9"/>
  <c r="L27" i="9"/>
  <c r="M27" i="9"/>
  <c r="N27" i="9"/>
  <c r="O27" i="9"/>
  <c r="E28" i="9"/>
  <c r="F28" i="9"/>
  <c r="G28" i="9"/>
  <c r="H28" i="9"/>
  <c r="I28" i="9"/>
  <c r="J28" i="9"/>
  <c r="D28" i="9"/>
  <c r="D27" i="9"/>
  <c r="E26" i="14"/>
  <c r="F26" i="14"/>
  <c r="G26" i="14"/>
  <c r="H26" i="14"/>
  <c r="I26" i="14"/>
  <c r="J26" i="14"/>
  <c r="K26" i="14"/>
  <c r="L26" i="14"/>
  <c r="M26" i="14"/>
  <c r="N26" i="14"/>
  <c r="O26" i="14"/>
  <c r="E27" i="14"/>
  <c r="F27" i="14"/>
  <c r="G27" i="14"/>
  <c r="H27" i="14"/>
  <c r="I27" i="14"/>
  <c r="J27" i="14"/>
  <c r="K27" i="14"/>
  <c r="L27" i="14"/>
  <c r="M27" i="14"/>
  <c r="N27" i="14"/>
  <c r="O27" i="14"/>
  <c r="E28" i="14"/>
  <c r="F28" i="14"/>
  <c r="G28" i="14"/>
  <c r="H28" i="14"/>
  <c r="I28" i="14"/>
  <c r="J28" i="14"/>
  <c r="K28" i="14"/>
  <c r="D28" i="14"/>
  <c r="D27" i="14"/>
  <c r="D26" i="14"/>
  <c r="O26" i="8"/>
  <c r="O27" i="8"/>
  <c r="O28" i="8"/>
  <c r="E26" i="8"/>
  <c r="F26" i="8"/>
  <c r="G26" i="8"/>
  <c r="H26" i="8"/>
  <c r="I26" i="8"/>
  <c r="J26" i="8"/>
  <c r="K26" i="8"/>
  <c r="L26" i="8"/>
  <c r="M26" i="8"/>
  <c r="N26" i="8"/>
  <c r="E27" i="8"/>
  <c r="F27" i="8"/>
  <c r="G27" i="8"/>
  <c r="H27" i="8"/>
  <c r="I27" i="8"/>
  <c r="J27" i="8"/>
  <c r="K27" i="8"/>
  <c r="L27" i="8"/>
  <c r="M27" i="8"/>
  <c r="N27" i="8"/>
  <c r="E28" i="8"/>
  <c r="F28" i="8"/>
  <c r="G28" i="8"/>
  <c r="H28" i="8"/>
  <c r="I28" i="8"/>
  <c r="J28" i="8"/>
  <c r="K28" i="8"/>
  <c r="L28" i="8"/>
  <c r="M28" i="8"/>
  <c r="N28" i="8"/>
  <c r="D28" i="8"/>
  <c r="D27" i="8"/>
  <c r="D26" i="8"/>
  <c r="E28" i="7"/>
  <c r="F28" i="7"/>
  <c r="G28" i="7"/>
  <c r="H28" i="7"/>
  <c r="I28" i="7"/>
  <c r="J28" i="7"/>
  <c r="K28" i="7"/>
  <c r="L28" i="7"/>
  <c r="M28" i="7"/>
  <c r="N28" i="7"/>
  <c r="D28" i="7"/>
  <c r="E27" i="7"/>
  <c r="F27" i="7"/>
  <c r="G27" i="7"/>
  <c r="H27" i="7"/>
  <c r="I27" i="7"/>
  <c r="J27" i="7"/>
  <c r="K27" i="7"/>
  <c r="L27" i="7"/>
  <c r="M27" i="7"/>
  <c r="N27" i="7"/>
  <c r="O27" i="7"/>
  <c r="D27" i="7"/>
  <c r="D26" i="7"/>
  <c r="E26" i="7"/>
  <c r="F26" i="7"/>
  <c r="G26" i="7"/>
  <c r="H26" i="7"/>
  <c r="I26" i="7"/>
  <c r="J26" i="7"/>
  <c r="K26" i="7"/>
  <c r="L26" i="7"/>
  <c r="M26" i="7"/>
  <c r="N26" i="7"/>
  <c r="O26" i="7"/>
  <c r="C9" i="1"/>
  <c r="D9" i="1"/>
  <c r="E9" i="1"/>
  <c r="F9" i="1"/>
  <c r="G9" i="1"/>
  <c r="H9" i="1"/>
  <c r="I9" i="1"/>
  <c r="J9" i="1"/>
  <c r="M9" i="1"/>
  <c r="O9" i="1"/>
  <c r="P9" i="1"/>
  <c r="S9" i="1"/>
  <c r="T9" i="1"/>
  <c r="U9" i="1"/>
  <c r="AB9" i="1"/>
  <c r="AD9" i="1"/>
  <c r="AE9" i="1"/>
  <c r="AF9" i="1"/>
  <c r="AH9" i="1"/>
  <c r="AI9" i="1"/>
  <c r="AJ9" i="1"/>
  <c r="AK9" i="1"/>
  <c r="AN9" i="1"/>
  <c r="AP9" i="1"/>
  <c r="AE47" i="2"/>
  <c r="O31" i="11" s="1"/>
  <c r="AC47" i="2"/>
  <c r="AC9" i="1" s="1"/>
  <c r="Z47" i="2"/>
  <c r="X47" i="2"/>
  <c r="Y47" i="2"/>
  <c r="O28" i="9" s="1"/>
  <c r="V47" i="2"/>
  <c r="O31" i="10" s="1"/>
  <c r="T47" i="2"/>
  <c r="O29" i="10" s="1"/>
  <c r="Q47" i="2"/>
  <c r="Q9" i="1" s="1"/>
  <c r="AO47" i="2"/>
  <c r="O35" i="16" s="1"/>
  <c r="AK47" i="2"/>
  <c r="O31" i="16" s="1"/>
  <c r="AI47" i="2"/>
  <c r="O29" i="16" s="1"/>
  <c r="P47" i="2"/>
  <c r="O31" i="12" s="1"/>
  <c r="N47" i="2"/>
  <c r="O29" i="12" s="1"/>
  <c r="K47" i="2"/>
  <c r="D47" i="2"/>
  <c r="F47" i="2"/>
  <c r="I47" i="2"/>
  <c r="AF47" i="2"/>
  <c r="O26" i="16" s="1"/>
  <c r="AL47" i="2"/>
  <c r="X46" i="2"/>
  <c r="N28" i="14" s="1"/>
  <c r="E11" i="1"/>
  <c r="G11" i="1"/>
  <c r="H11" i="1"/>
  <c r="J11" i="1"/>
  <c r="M11" i="1"/>
  <c r="O11" i="1"/>
  <c r="S11" i="1"/>
  <c r="U11" i="1"/>
  <c r="AB11" i="1"/>
  <c r="AD11" i="1"/>
  <c r="AH11" i="1"/>
  <c r="AJ11" i="1"/>
  <c r="AN11" i="1"/>
  <c r="AP11" i="1"/>
  <c r="E12" i="1"/>
  <c r="G12" i="1"/>
  <c r="H12" i="1"/>
  <c r="J12" i="1"/>
  <c r="M12" i="1"/>
  <c r="O12" i="1"/>
  <c r="S12" i="1"/>
  <c r="U12" i="1"/>
  <c r="AB12" i="1"/>
  <c r="AD12" i="1"/>
  <c r="AH12" i="1"/>
  <c r="AJ12" i="1"/>
  <c r="AN12" i="1"/>
  <c r="AP12" i="1"/>
  <c r="E13" i="1"/>
  <c r="G13" i="1"/>
  <c r="H13" i="1"/>
  <c r="J13" i="1"/>
  <c r="M13" i="1"/>
  <c r="O13" i="1"/>
  <c r="S13" i="1"/>
  <c r="U13" i="1"/>
  <c r="AB13" i="1"/>
  <c r="AD13" i="1"/>
  <c r="AH13" i="1"/>
  <c r="AJ13" i="1"/>
  <c r="AN13" i="1"/>
  <c r="AP13" i="1"/>
  <c r="E14" i="1"/>
  <c r="G14" i="1"/>
  <c r="H14" i="1"/>
  <c r="J14" i="1"/>
  <c r="M14" i="1"/>
  <c r="O14" i="1"/>
  <c r="S14" i="1"/>
  <c r="U14" i="1"/>
  <c r="AB14" i="1"/>
  <c r="AD14" i="1"/>
  <c r="AH14" i="1"/>
  <c r="AJ14" i="1"/>
  <c r="AN14" i="1"/>
  <c r="AP14" i="1"/>
  <c r="E15" i="1"/>
  <c r="G15" i="1"/>
  <c r="H15" i="1"/>
  <c r="J15" i="1"/>
  <c r="M15" i="1"/>
  <c r="O15" i="1"/>
  <c r="S15" i="1"/>
  <c r="U15" i="1"/>
  <c r="AB15" i="1"/>
  <c r="AD15" i="1"/>
  <c r="AH15" i="1"/>
  <c r="AJ15" i="1"/>
  <c r="AN15" i="1"/>
  <c r="AP15" i="1"/>
  <c r="E16" i="1"/>
  <c r="G16" i="1"/>
  <c r="H16" i="1"/>
  <c r="J16" i="1"/>
  <c r="M16" i="1"/>
  <c r="O16" i="1"/>
  <c r="S16" i="1"/>
  <c r="U16" i="1"/>
  <c r="AB16" i="1"/>
  <c r="AD16" i="1"/>
  <c r="AH16" i="1"/>
  <c r="AJ16" i="1"/>
  <c r="AN16" i="1"/>
  <c r="AP16" i="1"/>
  <c r="E17" i="1"/>
  <c r="G17" i="1"/>
  <c r="H17" i="1"/>
  <c r="J17" i="1"/>
  <c r="M17" i="1"/>
  <c r="O17" i="1"/>
  <c r="S17" i="1"/>
  <c r="U17" i="1"/>
  <c r="AB17" i="1"/>
  <c r="AD17" i="1"/>
  <c r="AH17" i="1"/>
  <c r="AJ17" i="1"/>
  <c r="AN17" i="1"/>
  <c r="AP17" i="1"/>
  <c r="E18" i="1"/>
  <c r="G18" i="1"/>
  <c r="H18" i="1"/>
  <c r="J18" i="1"/>
  <c r="M18" i="1"/>
  <c r="O18" i="1"/>
  <c r="S18" i="1"/>
  <c r="U18" i="1"/>
  <c r="AB18" i="1"/>
  <c r="AD18" i="1"/>
  <c r="AH18" i="1"/>
  <c r="AJ18" i="1"/>
  <c r="AN18" i="1"/>
  <c r="AP18" i="1"/>
  <c r="E19" i="1"/>
  <c r="G19" i="1"/>
  <c r="H19" i="1"/>
  <c r="J19" i="1"/>
  <c r="M19" i="1"/>
  <c r="O19" i="1"/>
  <c r="S19" i="1"/>
  <c r="U19" i="1"/>
  <c r="AB19" i="1"/>
  <c r="AD19" i="1"/>
  <c r="AH19" i="1"/>
  <c r="AJ19" i="1"/>
  <c r="AN19" i="1"/>
  <c r="AP19" i="1"/>
  <c r="E20" i="1"/>
  <c r="G20" i="1"/>
  <c r="H20" i="1"/>
  <c r="J20" i="1"/>
  <c r="M20" i="1"/>
  <c r="O20" i="1"/>
  <c r="S20" i="1"/>
  <c r="U20" i="1"/>
  <c r="AB20" i="1"/>
  <c r="AD20" i="1"/>
  <c r="AH20" i="1"/>
  <c r="AJ20" i="1"/>
  <c r="AN20" i="1"/>
  <c r="AP20" i="1"/>
  <c r="E21" i="1"/>
  <c r="G21" i="1"/>
  <c r="H21" i="1"/>
  <c r="J21" i="1"/>
  <c r="M21" i="1"/>
  <c r="O21" i="1"/>
  <c r="S21" i="1"/>
  <c r="U21" i="1"/>
  <c r="AB21" i="1"/>
  <c r="AD21" i="1"/>
  <c r="AH21" i="1"/>
  <c r="AJ21" i="1"/>
  <c r="AN21" i="1"/>
  <c r="AP21" i="1"/>
  <c r="E22" i="1"/>
  <c r="G22" i="1"/>
  <c r="H22" i="1"/>
  <c r="J22" i="1"/>
  <c r="M22" i="1"/>
  <c r="O22" i="1"/>
  <c r="S22" i="1"/>
  <c r="U22" i="1"/>
  <c r="AB22" i="1"/>
  <c r="AD22" i="1"/>
  <c r="AH22" i="1"/>
  <c r="AJ22" i="1"/>
  <c r="AN22" i="1"/>
  <c r="AP22" i="1"/>
  <c r="E23" i="1"/>
  <c r="G23" i="1"/>
  <c r="H23" i="1"/>
  <c r="J23" i="1"/>
  <c r="M23" i="1"/>
  <c r="O23" i="1"/>
  <c r="S23" i="1"/>
  <c r="U23" i="1"/>
  <c r="AB23" i="1"/>
  <c r="AD23" i="1"/>
  <c r="AH23" i="1"/>
  <c r="AJ23" i="1"/>
  <c r="AN23" i="1"/>
  <c r="AP23" i="1"/>
  <c r="E24" i="1"/>
  <c r="G24" i="1"/>
  <c r="H24" i="1"/>
  <c r="J24" i="1"/>
  <c r="M24" i="1"/>
  <c r="O24" i="1"/>
  <c r="S24" i="1"/>
  <c r="U24" i="1"/>
  <c r="AB24" i="1"/>
  <c r="AD24" i="1"/>
  <c r="AH24" i="1"/>
  <c r="AJ24" i="1"/>
  <c r="AN24" i="1"/>
  <c r="AP24" i="1"/>
  <c r="E25" i="1"/>
  <c r="G25" i="1"/>
  <c r="H25" i="1"/>
  <c r="J25" i="1"/>
  <c r="M25" i="1"/>
  <c r="O25" i="1"/>
  <c r="S25" i="1"/>
  <c r="U25" i="1"/>
  <c r="AB25" i="1"/>
  <c r="AD25" i="1"/>
  <c r="AH25" i="1"/>
  <c r="AJ25" i="1"/>
  <c r="AN25" i="1"/>
  <c r="AP25" i="1"/>
  <c r="E26" i="1"/>
  <c r="G26" i="1"/>
  <c r="H26" i="1"/>
  <c r="J26" i="1"/>
  <c r="M26" i="1"/>
  <c r="O26" i="1"/>
  <c r="S26" i="1"/>
  <c r="U26" i="1"/>
  <c r="AB26" i="1"/>
  <c r="AD26" i="1"/>
  <c r="AH26" i="1"/>
  <c r="AJ26" i="1"/>
  <c r="AN26" i="1"/>
  <c r="AP26" i="1"/>
  <c r="E27" i="1"/>
  <c r="G27" i="1"/>
  <c r="H27" i="1"/>
  <c r="J27" i="1"/>
  <c r="M27" i="1"/>
  <c r="O27" i="1"/>
  <c r="S27" i="1"/>
  <c r="U27" i="1"/>
  <c r="AB27" i="1"/>
  <c r="AD27" i="1"/>
  <c r="AH27" i="1"/>
  <c r="AJ27" i="1"/>
  <c r="AN27" i="1"/>
  <c r="AP27" i="1"/>
  <c r="E28" i="1"/>
  <c r="G28" i="1"/>
  <c r="H28" i="1"/>
  <c r="J28" i="1"/>
  <c r="M28" i="1"/>
  <c r="O28" i="1"/>
  <c r="S28" i="1"/>
  <c r="U28" i="1"/>
  <c r="AB28" i="1"/>
  <c r="AD28" i="1"/>
  <c r="AH28" i="1"/>
  <c r="AJ28" i="1"/>
  <c r="AN28" i="1"/>
  <c r="AP28" i="1"/>
  <c r="E29" i="1"/>
  <c r="G29" i="1"/>
  <c r="H29" i="1"/>
  <c r="J29" i="1"/>
  <c r="M29" i="1"/>
  <c r="O29" i="1"/>
  <c r="S29" i="1"/>
  <c r="U29" i="1"/>
  <c r="AB29" i="1"/>
  <c r="AD29" i="1"/>
  <c r="AH29" i="1"/>
  <c r="AJ29" i="1"/>
  <c r="AN29" i="1"/>
  <c r="AP29" i="1"/>
  <c r="E30" i="1"/>
  <c r="G30" i="1"/>
  <c r="H30" i="1"/>
  <c r="J30" i="1"/>
  <c r="M30" i="1"/>
  <c r="O30" i="1"/>
  <c r="S30" i="1"/>
  <c r="U30" i="1"/>
  <c r="AB30" i="1"/>
  <c r="AD30" i="1"/>
  <c r="AH30" i="1"/>
  <c r="AJ30" i="1"/>
  <c r="AN30" i="1"/>
  <c r="AP30" i="1"/>
  <c r="E31" i="1"/>
  <c r="G31" i="1"/>
  <c r="H31" i="1"/>
  <c r="J31" i="1"/>
  <c r="M31" i="1"/>
  <c r="O31" i="1"/>
  <c r="S31" i="1"/>
  <c r="U31" i="1"/>
  <c r="AB31" i="1"/>
  <c r="AD31" i="1"/>
  <c r="AH31" i="1"/>
  <c r="AJ31" i="1"/>
  <c r="AN31" i="1"/>
  <c r="AP31" i="1"/>
  <c r="E32" i="1"/>
  <c r="G32" i="1"/>
  <c r="H32" i="1"/>
  <c r="J32" i="1"/>
  <c r="M32" i="1"/>
  <c r="O32" i="1"/>
  <c r="S32" i="1"/>
  <c r="U32" i="1"/>
  <c r="AB32" i="1"/>
  <c r="AD32" i="1"/>
  <c r="AH32" i="1"/>
  <c r="AJ32" i="1"/>
  <c r="AN32" i="1"/>
  <c r="AP32" i="1"/>
  <c r="E33" i="1"/>
  <c r="G33" i="1"/>
  <c r="H33" i="1"/>
  <c r="J33" i="1"/>
  <c r="M33" i="1"/>
  <c r="O33" i="1"/>
  <c r="S33" i="1"/>
  <c r="U33" i="1"/>
  <c r="AB33" i="1"/>
  <c r="AD33" i="1"/>
  <c r="AH33" i="1"/>
  <c r="AJ33" i="1"/>
  <c r="AN33" i="1"/>
  <c r="AP33" i="1"/>
  <c r="E34" i="1"/>
  <c r="G34" i="1"/>
  <c r="H34" i="1"/>
  <c r="J34" i="1"/>
  <c r="M34" i="1"/>
  <c r="O34" i="1"/>
  <c r="S34" i="1"/>
  <c r="U34" i="1"/>
  <c r="AB34" i="1"/>
  <c r="AD34" i="1"/>
  <c r="AH34" i="1"/>
  <c r="AJ34" i="1"/>
  <c r="AN34" i="1"/>
  <c r="AP34" i="1"/>
  <c r="E35" i="1"/>
  <c r="G35" i="1"/>
  <c r="H35" i="1"/>
  <c r="J35" i="1"/>
  <c r="M35" i="1"/>
  <c r="O35" i="1"/>
  <c r="S35" i="1"/>
  <c r="U35" i="1"/>
  <c r="AB35" i="1"/>
  <c r="AD35" i="1"/>
  <c r="AH35" i="1"/>
  <c r="AJ35" i="1"/>
  <c r="AN35" i="1"/>
  <c r="AP35" i="1"/>
  <c r="E36" i="1"/>
  <c r="G36" i="1"/>
  <c r="H36" i="1"/>
  <c r="J36" i="1"/>
  <c r="M36" i="1"/>
  <c r="O36" i="1"/>
  <c r="S36" i="1"/>
  <c r="U36" i="1"/>
  <c r="AB36" i="1"/>
  <c r="AD36" i="1"/>
  <c r="AH36" i="1"/>
  <c r="AJ36" i="1"/>
  <c r="AN36" i="1"/>
  <c r="AP36" i="1"/>
  <c r="E37" i="1"/>
  <c r="G37" i="1"/>
  <c r="H37" i="1"/>
  <c r="J37" i="1"/>
  <c r="M37" i="1"/>
  <c r="O37" i="1"/>
  <c r="S37" i="1"/>
  <c r="U37" i="1"/>
  <c r="AB37" i="1"/>
  <c r="AD37" i="1"/>
  <c r="AH37" i="1"/>
  <c r="AJ37" i="1"/>
  <c r="AN37" i="1"/>
  <c r="AP37" i="1"/>
  <c r="E38" i="1"/>
  <c r="G38" i="1"/>
  <c r="H38" i="1"/>
  <c r="J38" i="1"/>
  <c r="M38" i="1"/>
  <c r="O38" i="1"/>
  <c r="S38" i="1"/>
  <c r="U38" i="1"/>
  <c r="AB38" i="1"/>
  <c r="AD38" i="1"/>
  <c r="AH38" i="1"/>
  <c r="AJ38" i="1"/>
  <c r="AN38" i="1"/>
  <c r="AP38" i="1"/>
  <c r="E39" i="1"/>
  <c r="G39" i="1"/>
  <c r="H39" i="1"/>
  <c r="J39" i="1"/>
  <c r="M39" i="1"/>
  <c r="O39" i="1"/>
  <c r="S39" i="1"/>
  <c r="U39" i="1"/>
  <c r="AB39" i="1"/>
  <c r="AD39" i="1"/>
  <c r="AH39" i="1"/>
  <c r="AJ39" i="1"/>
  <c r="AN39" i="1"/>
  <c r="AP39" i="1"/>
  <c r="E40" i="1"/>
  <c r="G40" i="1"/>
  <c r="H40" i="1"/>
  <c r="J40" i="1"/>
  <c r="M40" i="1"/>
  <c r="O40" i="1"/>
  <c r="S40" i="1"/>
  <c r="U40" i="1"/>
  <c r="AB40" i="1"/>
  <c r="AD40" i="1"/>
  <c r="AH40" i="1"/>
  <c r="AJ40" i="1"/>
  <c r="AN40" i="1"/>
  <c r="AP40" i="1"/>
  <c r="E41" i="1"/>
  <c r="G41" i="1"/>
  <c r="H41" i="1"/>
  <c r="J41" i="1"/>
  <c r="M41" i="1"/>
  <c r="O41" i="1"/>
  <c r="S41" i="1"/>
  <c r="U41" i="1"/>
  <c r="AB41" i="1"/>
  <c r="AD41" i="1"/>
  <c r="AH41" i="1"/>
  <c r="AJ41" i="1"/>
  <c r="AN41" i="1"/>
  <c r="AP41" i="1"/>
  <c r="E42" i="1"/>
  <c r="G42" i="1"/>
  <c r="H42" i="1"/>
  <c r="J42" i="1"/>
  <c r="M42" i="1"/>
  <c r="O42" i="1"/>
  <c r="S42" i="1"/>
  <c r="U42" i="1"/>
  <c r="AB42" i="1"/>
  <c r="AD42" i="1"/>
  <c r="AH42" i="1"/>
  <c r="AJ42" i="1"/>
  <c r="AN42" i="1"/>
  <c r="AP42" i="1"/>
  <c r="E43" i="1"/>
  <c r="G43" i="1"/>
  <c r="H43" i="1"/>
  <c r="J43" i="1"/>
  <c r="M43" i="1"/>
  <c r="O43" i="1"/>
  <c r="S43" i="1"/>
  <c r="U43" i="1"/>
  <c r="AB43" i="1"/>
  <c r="AD43" i="1"/>
  <c r="AH43" i="1"/>
  <c r="AJ43" i="1"/>
  <c r="AN43" i="1"/>
  <c r="AP43" i="1"/>
  <c r="E44" i="1"/>
  <c r="G44" i="1"/>
  <c r="H44" i="1"/>
  <c r="J44" i="1"/>
  <c r="M44" i="1"/>
  <c r="O44" i="1"/>
  <c r="S44" i="1"/>
  <c r="U44" i="1"/>
  <c r="AB44" i="1"/>
  <c r="AD44" i="1"/>
  <c r="AH44" i="1"/>
  <c r="AJ44" i="1"/>
  <c r="AN44" i="1"/>
  <c r="AP44" i="1"/>
  <c r="E45" i="1"/>
  <c r="G45" i="1"/>
  <c r="H45" i="1"/>
  <c r="J45" i="1"/>
  <c r="M45" i="1"/>
  <c r="O45" i="1"/>
  <c r="S45" i="1"/>
  <c r="U45" i="1"/>
  <c r="AB45" i="1"/>
  <c r="AD45" i="1"/>
  <c r="AH45" i="1"/>
  <c r="AJ45" i="1"/>
  <c r="AN45" i="1"/>
  <c r="AP45" i="1"/>
  <c r="E46" i="1"/>
  <c r="G46" i="1"/>
  <c r="H46" i="1"/>
  <c r="J46" i="1"/>
  <c r="M46" i="1"/>
  <c r="O46" i="1"/>
  <c r="S46" i="1"/>
  <c r="U46" i="1"/>
  <c r="AB46" i="1"/>
  <c r="AD46" i="1"/>
  <c r="AH46" i="1"/>
  <c r="AJ46" i="1"/>
  <c r="AN46" i="1"/>
  <c r="AP46" i="1"/>
  <c r="E47" i="1"/>
  <c r="G47" i="1"/>
  <c r="H47" i="1"/>
  <c r="J47" i="1"/>
  <c r="M47" i="1"/>
  <c r="O47" i="1"/>
  <c r="S47" i="1"/>
  <c r="U47" i="1"/>
  <c r="AB47" i="1"/>
  <c r="AD47" i="1"/>
  <c r="AH47" i="1"/>
  <c r="AJ47" i="1"/>
  <c r="AN47" i="1"/>
  <c r="AP47" i="1"/>
  <c r="E48" i="1"/>
  <c r="G48" i="1"/>
  <c r="H48" i="1"/>
  <c r="J48" i="1"/>
  <c r="M48" i="1"/>
  <c r="O48" i="1"/>
  <c r="S48" i="1"/>
  <c r="U48" i="1"/>
  <c r="AB48" i="1"/>
  <c r="AD48" i="1"/>
  <c r="AH48" i="1"/>
  <c r="AJ48" i="1"/>
  <c r="AN48" i="1"/>
  <c r="AP48" i="1"/>
  <c r="E49" i="1"/>
  <c r="G49" i="1"/>
  <c r="H49" i="1"/>
  <c r="J49" i="1"/>
  <c r="M49" i="1"/>
  <c r="O49" i="1"/>
  <c r="S49" i="1"/>
  <c r="U49" i="1"/>
  <c r="AB49" i="1"/>
  <c r="AD49" i="1"/>
  <c r="AH49" i="1"/>
  <c r="AJ49" i="1"/>
  <c r="AN49" i="1"/>
  <c r="AP49" i="1"/>
  <c r="E50" i="1"/>
  <c r="G50" i="1"/>
  <c r="H50" i="1"/>
  <c r="J50" i="1"/>
  <c r="M50" i="1"/>
  <c r="O50" i="1"/>
  <c r="S50" i="1"/>
  <c r="U50" i="1"/>
  <c r="AB50" i="1"/>
  <c r="AD50" i="1"/>
  <c r="AH50" i="1"/>
  <c r="AJ50" i="1"/>
  <c r="AN50" i="1"/>
  <c r="AP50" i="1"/>
  <c r="E51" i="1"/>
  <c r="G51" i="1"/>
  <c r="H51" i="1"/>
  <c r="J51" i="1"/>
  <c r="M51" i="1"/>
  <c r="O51" i="1"/>
  <c r="S51" i="1"/>
  <c r="U51" i="1"/>
  <c r="AB51" i="1"/>
  <c r="AD51" i="1"/>
  <c r="AH51" i="1"/>
  <c r="AJ51" i="1"/>
  <c r="AN51" i="1"/>
  <c r="AP51" i="1"/>
  <c r="E52" i="1"/>
  <c r="G52" i="1"/>
  <c r="H52" i="1"/>
  <c r="J52" i="1"/>
  <c r="L52" i="1"/>
  <c r="M52" i="1"/>
  <c r="N52" i="1"/>
  <c r="O52" i="1"/>
  <c r="P52" i="1"/>
  <c r="R52" i="1"/>
  <c r="S52" i="1"/>
  <c r="T52" i="1"/>
  <c r="U52" i="1"/>
  <c r="V52" i="1"/>
  <c r="AA52" i="1"/>
  <c r="AB52" i="1"/>
  <c r="AC52" i="1"/>
  <c r="AD52" i="1"/>
  <c r="AE52" i="1"/>
  <c r="AG52" i="1"/>
  <c r="AH52" i="1"/>
  <c r="AI52" i="1"/>
  <c r="AJ52" i="1"/>
  <c r="AK52" i="1"/>
  <c r="AM52" i="1"/>
  <c r="AN52" i="1"/>
  <c r="AO52" i="1"/>
  <c r="AP52" i="1"/>
  <c r="AQ52" i="1"/>
  <c r="E10" i="1"/>
  <c r="G10" i="1"/>
  <c r="H10" i="1"/>
  <c r="J10" i="1"/>
  <c r="M10" i="1"/>
  <c r="O10" i="1"/>
  <c r="S10" i="1"/>
  <c r="U10" i="1"/>
  <c r="AB10" i="1"/>
  <c r="AD10" i="1"/>
  <c r="AH10" i="1"/>
  <c r="AJ10" i="1"/>
  <c r="AN10" i="1"/>
  <c r="AP10" i="1"/>
  <c r="AQ6" i="2"/>
  <c r="AQ50" i="1" s="1"/>
  <c r="AQ7" i="2"/>
  <c r="AQ49" i="1" s="1"/>
  <c r="AQ8" i="2"/>
  <c r="AQ48" i="1" s="1"/>
  <c r="AQ9" i="2"/>
  <c r="AQ47" i="1" s="1"/>
  <c r="AQ10" i="2"/>
  <c r="AQ46" i="1" s="1"/>
  <c r="AQ11" i="2"/>
  <c r="AQ45" i="1" s="1"/>
  <c r="AQ12" i="2"/>
  <c r="AQ44" i="1" s="1"/>
  <c r="AQ13" i="2"/>
  <c r="AQ43" i="1" s="1"/>
  <c r="AQ14" i="2"/>
  <c r="AQ42" i="1" s="1"/>
  <c r="AQ15" i="2"/>
  <c r="AQ41" i="1" s="1"/>
  <c r="AQ16" i="2"/>
  <c r="AQ40" i="1" s="1"/>
  <c r="AQ17" i="2"/>
  <c r="AQ39" i="1" s="1"/>
  <c r="AQ18" i="2"/>
  <c r="AQ38" i="1" s="1"/>
  <c r="AQ19" i="2"/>
  <c r="AQ37" i="1" s="1"/>
  <c r="AQ20" i="2"/>
  <c r="AQ36" i="1" s="1"/>
  <c r="AQ21" i="2"/>
  <c r="AQ35" i="1" s="1"/>
  <c r="AQ22" i="2"/>
  <c r="AQ34" i="1" s="1"/>
  <c r="AQ23" i="2"/>
  <c r="AQ33" i="1" s="1"/>
  <c r="AQ24" i="2"/>
  <c r="AQ32" i="1" s="1"/>
  <c r="AQ25" i="2"/>
  <c r="AQ31" i="1" s="1"/>
  <c r="AQ26" i="2"/>
  <c r="AQ30" i="1" s="1"/>
  <c r="AQ27" i="2"/>
  <c r="AQ29" i="1" s="1"/>
  <c r="AQ28" i="2"/>
  <c r="AQ28" i="1" s="1"/>
  <c r="AQ29" i="2"/>
  <c r="AQ27" i="1" s="1"/>
  <c r="AQ30" i="2"/>
  <c r="AQ26" i="1" s="1"/>
  <c r="AQ31" i="2"/>
  <c r="AQ25" i="1" s="1"/>
  <c r="AQ32" i="2"/>
  <c r="AQ24" i="1" s="1"/>
  <c r="AQ33" i="2"/>
  <c r="AQ23" i="1" s="1"/>
  <c r="AQ34" i="2"/>
  <c r="AQ22" i="1" s="1"/>
  <c r="AQ35" i="2"/>
  <c r="AQ21" i="1" s="1"/>
  <c r="AQ36" i="2"/>
  <c r="AQ20" i="1" s="1"/>
  <c r="AQ37" i="2"/>
  <c r="AQ19" i="1" s="1"/>
  <c r="AQ38" i="2"/>
  <c r="AQ18" i="1" s="1"/>
  <c r="AQ39" i="2"/>
  <c r="AQ17" i="1" s="1"/>
  <c r="AQ40" i="2"/>
  <c r="AQ16" i="1" s="1"/>
  <c r="AQ41" i="2"/>
  <c r="AQ15" i="1" s="1"/>
  <c r="AQ42" i="2"/>
  <c r="AQ14" i="1" s="1"/>
  <c r="AQ43" i="2"/>
  <c r="AQ13" i="1" s="1"/>
  <c r="AQ44" i="2"/>
  <c r="AQ45" i="2"/>
  <c r="AQ46" i="2"/>
  <c r="AQ5" i="2"/>
  <c r="AQ51" i="1" s="1"/>
  <c r="AO6" i="2"/>
  <c r="AO50" i="1" s="1"/>
  <c r="AO7" i="2"/>
  <c r="AO49" i="1" s="1"/>
  <c r="AO8" i="2"/>
  <c r="AO48" i="1" s="1"/>
  <c r="AO9" i="2"/>
  <c r="AO47" i="1" s="1"/>
  <c r="AO10" i="2"/>
  <c r="AO46" i="1" s="1"/>
  <c r="AO11" i="2"/>
  <c r="AO45" i="1" s="1"/>
  <c r="AO12" i="2"/>
  <c r="AO44" i="1" s="1"/>
  <c r="AO13" i="2"/>
  <c r="AO43" i="1" s="1"/>
  <c r="AO14" i="2"/>
  <c r="AO42" i="1" s="1"/>
  <c r="AO15" i="2"/>
  <c r="AO41" i="1" s="1"/>
  <c r="AO16" i="2"/>
  <c r="AO40" i="1" s="1"/>
  <c r="AO17" i="2"/>
  <c r="AO39" i="1" s="1"/>
  <c r="AO18" i="2"/>
  <c r="AO38" i="1" s="1"/>
  <c r="AO19" i="2"/>
  <c r="AO37" i="1" s="1"/>
  <c r="AO20" i="2"/>
  <c r="AO36" i="1" s="1"/>
  <c r="AO21" i="2"/>
  <c r="AO35" i="1" s="1"/>
  <c r="AO22" i="2"/>
  <c r="AO34" i="1" s="1"/>
  <c r="AO23" i="2"/>
  <c r="AO33" i="1" s="1"/>
  <c r="AO24" i="2"/>
  <c r="AO32" i="1" s="1"/>
  <c r="AO25" i="2"/>
  <c r="AO31" i="1" s="1"/>
  <c r="AO26" i="2"/>
  <c r="AO30" i="1" s="1"/>
  <c r="AO27" i="2"/>
  <c r="AO29" i="1" s="1"/>
  <c r="AO28" i="2"/>
  <c r="AO28" i="1" s="1"/>
  <c r="AO29" i="2"/>
  <c r="AO27" i="1" s="1"/>
  <c r="AO30" i="2"/>
  <c r="AO26" i="1" s="1"/>
  <c r="AO31" i="2"/>
  <c r="AO25" i="1" s="1"/>
  <c r="AO32" i="2"/>
  <c r="AO24" i="1" s="1"/>
  <c r="AO33" i="2"/>
  <c r="AO23" i="1" s="1"/>
  <c r="AO34" i="2"/>
  <c r="AO22" i="1" s="1"/>
  <c r="AO35" i="2"/>
  <c r="AO21" i="1" s="1"/>
  <c r="AO36" i="2"/>
  <c r="AO20" i="1" s="1"/>
  <c r="AO37" i="2"/>
  <c r="AO19" i="1" s="1"/>
  <c r="AO38" i="2"/>
  <c r="AO18" i="1" s="1"/>
  <c r="AO39" i="2"/>
  <c r="AO17" i="1" s="1"/>
  <c r="AO40" i="2"/>
  <c r="AO16" i="1" s="1"/>
  <c r="AO41" i="2"/>
  <c r="AO15" i="1" s="1"/>
  <c r="AO42" i="2"/>
  <c r="AO14" i="1" s="1"/>
  <c r="AO43" i="2"/>
  <c r="AO13" i="1" s="1"/>
  <c r="AO44" i="2"/>
  <c r="AO12" i="1" s="1"/>
  <c r="AO45" i="2"/>
  <c r="AO46" i="2"/>
  <c r="AO5" i="2"/>
  <c r="AO51" i="1" s="1"/>
  <c r="AK6" i="2"/>
  <c r="AK50" i="1" s="1"/>
  <c r="AK7" i="2"/>
  <c r="AK49" i="1" s="1"/>
  <c r="AK8" i="2"/>
  <c r="AK48" i="1" s="1"/>
  <c r="AK9" i="2"/>
  <c r="AK47" i="1" s="1"/>
  <c r="AK10" i="2"/>
  <c r="AK46" i="1" s="1"/>
  <c r="AK11" i="2"/>
  <c r="AK45" i="1" s="1"/>
  <c r="AK12" i="2"/>
  <c r="AK44" i="1" s="1"/>
  <c r="AK13" i="2"/>
  <c r="AK43" i="1" s="1"/>
  <c r="AK14" i="2"/>
  <c r="AK42" i="1" s="1"/>
  <c r="AK15" i="2"/>
  <c r="AK41" i="1" s="1"/>
  <c r="AK16" i="2"/>
  <c r="AK40" i="1" s="1"/>
  <c r="AK17" i="2"/>
  <c r="AK39" i="1" s="1"/>
  <c r="AK18" i="2"/>
  <c r="AK38" i="1" s="1"/>
  <c r="AK19" i="2"/>
  <c r="AK37" i="1" s="1"/>
  <c r="AK20" i="2"/>
  <c r="AK36" i="1" s="1"/>
  <c r="AK21" i="2"/>
  <c r="AK35" i="1" s="1"/>
  <c r="AK22" i="2"/>
  <c r="AK34" i="1" s="1"/>
  <c r="AK23" i="2"/>
  <c r="AK33" i="1" s="1"/>
  <c r="AK24" i="2"/>
  <c r="AK32" i="1" s="1"/>
  <c r="AK25" i="2"/>
  <c r="AK31" i="1" s="1"/>
  <c r="AK26" i="2"/>
  <c r="AK30" i="1" s="1"/>
  <c r="AK27" i="2"/>
  <c r="AK29" i="1" s="1"/>
  <c r="AK28" i="2"/>
  <c r="AK28" i="1" s="1"/>
  <c r="AK29" i="2"/>
  <c r="AK27" i="1" s="1"/>
  <c r="AK30" i="2"/>
  <c r="AK26" i="1" s="1"/>
  <c r="AK31" i="2"/>
  <c r="AK25" i="1" s="1"/>
  <c r="AK32" i="2"/>
  <c r="AK24" i="1" s="1"/>
  <c r="AK33" i="2"/>
  <c r="AK23" i="1" s="1"/>
  <c r="AK34" i="2"/>
  <c r="AK22" i="1" s="1"/>
  <c r="AK35" i="2"/>
  <c r="AK21" i="1" s="1"/>
  <c r="AK36" i="2"/>
  <c r="AK20" i="1" s="1"/>
  <c r="AK37" i="2"/>
  <c r="AK19" i="1" s="1"/>
  <c r="AK38" i="2"/>
  <c r="AK18" i="1" s="1"/>
  <c r="AK39" i="2"/>
  <c r="AK17" i="1" s="1"/>
  <c r="AK40" i="2"/>
  <c r="AK16" i="1" s="1"/>
  <c r="AK41" i="2"/>
  <c r="AK15" i="1" s="1"/>
  <c r="AK42" i="2"/>
  <c r="AK14" i="1" s="1"/>
  <c r="AK43" i="2"/>
  <c r="AK13" i="1" s="1"/>
  <c r="AK44" i="2"/>
  <c r="AK12" i="1" s="1"/>
  <c r="AK45" i="2"/>
  <c r="AK11" i="1" s="1"/>
  <c r="AK46" i="2"/>
  <c r="AK10" i="1" s="1"/>
  <c r="AK5" i="2"/>
  <c r="AK51" i="1" s="1"/>
  <c r="AI6" i="2"/>
  <c r="AI50" i="1" s="1"/>
  <c r="AI7" i="2"/>
  <c r="AI49" i="1" s="1"/>
  <c r="AI8" i="2"/>
  <c r="AI48" i="1" s="1"/>
  <c r="AI9" i="2"/>
  <c r="AI47" i="1" s="1"/>
  <c r="AI10" i="2"/>
  <c r="AI46" i="1" s="1"/>
  <c r="AI11" i="2"/>
  <c r="AI45" i="1" s="1"/>
  <c r="AI12" i="2"/>
  <c r="AI44" i="1" s="1"/>
  <c r="AI13" i="2"/>
  <c r="AI43" i="1" s="1"/>
  <c r="AI14" i="2"/>
  <c r="AI42" i="1" s="1"/>
  <c r="AI15" i="2"/>
  <c r="AI41" i="1" s="1"/>
  <c r="AI16" i="2"/>
  <c r="AI40" i="1" s="1"/>
  <c r="AI17" i="2"/>
  <c r="AI39" i="1" s="1"/>
  <c r="AI18" i="2"/>
  <c r="AI38" i="1" s="1"/>
  <c r="AI19" i="2"/>
  <c r="AI37" i="1" s="1"/>
  <c r="AI20" i="2"/>
  <c r="AI36" i="1" s="1"/>
  <c r="AI21" i="2"/>
  <c r="AI35" i="1" s="1"/>
  <c r="AI22" i="2"/>
  <c r="AI34" i="1" s="1"/>
  <c r="AI23" i="2"/>
  <c r="AI33" i="1" s="1"/>
  <c r="AI24" i="2"/>
  <c r="AI32" i="1" s="1"/>
  <c r="AI25" i="2"/>
  <c r="AI31" i="1" s="1"/>
  <c r="AI26" i="2"/>
  <c r="AI30" i="1" s="1"/>
  <c r="AI27" i="2"/>
  <c r="AI29" i="1" s="1"/>
  <c r="AI28" i="2"/>
  <c r="AI28" i="1" s="1"/>
  <c r="AI29" i="2"/>
  <c r="AI27" i="1" s="1"/>
  <c r="AI30" i="2"/>
  <c r="AI26" i="1" s="1"/>
  <c r="AI31" i="2"/>
  <c r="AI25" i="1" s="1"/>
  <c r="AI32" i="2"/>
  <c r="AI24" i="1" s="1"/>
  <c r="AI33" i="2"/>
  <c r="AI23" i="1" s="1"/>
  <c r="AI34" i="2"/>
  <c r="AI22" i="1" s="1"/>
  <c r="AI35" i="2"/>
  <c r="AI21" i="1" s="1"/>
  <c r="AI36" i="2"/>
  <c r="AI20" i="1" s="1"/>
  <c r="AI37" i="2"/>
  <c r="AI19" i="1" s="1"/>
  <c r="AI38" i="2"/>
  <c r="AI18" i="1" s="1"/>
  <c r="AI39" i="2"/>
  <c r="AI17" i="1" s="1"/>
  <c r="AI40" i="2"/>
  <c r="AI16" i="1" s="1"/>
  <c r="AI41" i="2"/>
  <c r="AI15" i="1" s="1"/>
  <c r="AI42" i="2"/>
  <c r="AI14" i="1" s="1"/>
  <c r="AI43" i="2"/>
  <c r="AI13" i="1" s="1"/>
  <c r="AI44" i="2"/>
  <c r="AI12" i="1" s="1"/>
  <c r="AI45" i="2"/>
  <c r="AI11" i="1" s="1"/>
  <c r="AI46" i="2"/>
  <c r="AI5" i="2"/>
  <c r="AI51" i="1" s="1"/>
  <c r="N5" i="2"/>
  <c r="N51" i="1" s="1"/>
  <c r="AL46" i="2"/>
  <c r="AF46" i="2"/>
  <c r="AL45" i="2"/>
  <c r="AF45" i="2"/>
  <c r="AF11" i="1" s="1"/>
  <c r="AL44" i="2"/>
  <c r="AF44" i="2"/>
  <c r="AF12" i="1" s="1"/>
  <c r="AL43" i="2"/>
  <c r="AL13" i="1" s="1"/>
  <c r="AF43" i="2"/>
  <c r="AF13" i="1" s="1"/>
  <c r="AL42" i="2"/>
  <c r="AL14" i="1" s="1"/>
  <c r="AF42" i="2"/>
  <c r="AF14" i="1" s="1"/>
  <c r="AL41" i="2"/>
  <c r="AL15" i="1" s="1"/>
  <c r="AF41" i="2"/>
  <c r="AF15" i="1" s="1"/>
  <c r="AL40" i="2"/>
  <c r="AL16" i="1" s="1"/>
  <c r="AF40" i="2"/>
  <c r="AF16" i="1" s="1"/>
  <c r="AL39" i="2"/>
  <c r="AL17" i="1" s="1"/>
  <c r="AF39" i="2"/>
  <c r="AF17" i="1" s="1"/>
  <c r="AL38" i="2"/>
  <c r="AL18" i="1" s="1"/>
  <c r="AF38" i="2"/>
  <c r="AF18" i="1" s="1"/>
  <c r="AL37" i="2"/>
  <c r="AL19" i="1" s="1"/>
  <c r="AF37" i="2"/>
  <c r="AF19" i="1" s="1"/>
  <c r="AL36" i="2"/>
  <c r="AL20" i="1" s="1"/>
  <c r="AF36" i="2"/>
  <c r="AF20" i="1" s="1"/>
  <c r="AL35" i="2"/>
  <c r="AL21" i="1" s="1"/>
  <c r="AF35" i="2"/>
  <c r="AF21" i="1" s="1"/>
  <c r="AL34" i="2"/>
  <c r="AL22" i="1" s="1"/>
  <c r="AF34" i="2"/>
  <c r="AF22" i="1" s="1"/>
  <c r="AL33" i="2"/>
  <c r="AL23" i="1" s="1"/>
  <c r="AF33" i="2"/>
  <c r="AF23" i="1" s="1"/>
  <c r="AL32" i="2"/>
  <c r="AL24" i="1" s="1"/>
  <c r="AF32" i="2"/>
  <c r="AF24" i="1" s="1"/>
  <c r="AL31" i="2"/>
  <c r="AL25" i="1" s="1"/>
  <c r="AF31" i="2"/>
  <c r="AF25" i="1" s="1"/>
  <c r="AL30" i="2"/>
  <c r="AL26" i="1" s="1"/>
  <c r="AF30" i="2"/>
  <c r="AF26" i="1" s="1"/>
  <c r="AL29" i="2"/>
  <c r="AL27" i="1" s="1"/>
  <c r="AF29" i="2"/>
  <c r="AF27" i="1" s="1"/>
  <c r="AL28" i="2"/>
  <c r="AL28" i="1" s="1"/>
  <c r="AF28" i="2"/>
  <c r="AF28" i="1" s="1"/>
  <c r="AL27" i="2"/>
  <c r="AL29" i="1" s="1"/>
  <c r="AF27" i="2"/>
  <c r="AF29" i="1" s="1"/>
  <c r="AL26" i="2"/>
  <c r="AL30" i="1" s="1"/>
  <c r="AF26" i="2"/>
  <c r="AF30" i="1" s="1"/>
  <c r="AL25" i="2"/>
  <c r="AL31" i="1" s="1"/>
  <c r="AF25" i="2"/>
  <c r="AF31" i="1" s="1"/>
  <c r="AL24" i="2"/>
  <c r="AL32" i="1" s="1"/>
  <c r="AF24" i="2"/>
  <c r="AF32" i="1" s="1"/>
  <c r="AL23" i="2"/>
  <c r="AL33" i="1" s="1"/>
  <c r="AF23" i="2"/>
  <c r="AF33" i="1" s="1"/>
  <c r="AL22" i="2"/>
  <c r="AL34" i="1" s="1"/>
  <c r="AF22" i="2"/>
  <c r="AF34" i="1" s="1"/>
  <c r="AL21" i="2"/>
  <c r="AL35" i="1" s="1"/>
  <c r="AF21" i="2"/>
  <c r="AF35" i="1" s="1"/>
  <c r="AL20" i="2"/>
  <c r="AL36" i="1" s="1"/>
  <c r="AF20" i="2"/>
  <c r="AF36" i="1" s="1"/>
  <c r="AL19" i="2"/>
  <c r="AL37" i="1" s="1"/>
  <c r="AF19" i="2"/>
  <c r="AF37" i="1" s="1"/>
  <c r="AL18" i="2"/>
  <c r="AL38" i="1" s="1"/>
  <c r="AF18" i="2"/>
  <c r="AF38" i="1" s="1"/>
  <c r="AL17" i="2"/>
  <c r="AL39" i="1" s="1"/>
  <c r="AF17" i="2"/>
  <c r="AF39" i="1" s="1"/>
  <c r="AL16" i="2"/>
  <c r="AL40" i="1" s="1"/>
  <c r="AF16" i="2"/>
  <c r="AF40" i="1" s="1"/>
  <c r="AL15" i="2"/>
  <c r="AL41" i="1" s="1"/>
  <c r="AF15" i="2"/>
  <c r="AF41" i="1" s="1"/>
  <c r="AL14" i="2"/>
  <c r="AL42" i="1" s="1"/>
  <c r="AF14" i="2"/>
  <c r="AF42" i="1" s="1"/>
  <c r="AL13" i="2"/>
  <c r="AL43" i="1" s="1"/>
  <c r="AF13" i="2"/>
  <c r="AF43" i="1" s="1"/>
  <c r="AL12" i="2"/>
  <c r="AL44" i="1" s="1"/>
  <c r="AF12" i="2"/>
  <c r="AF44" i="1" s="1"/>
  <c r="AL11" i="2"/>
  <c r="AL45" i="1" s="1"/>
  <c r="AF11" i="2"/>
  <c r="AF45" i="1" s="1"/>
  <c r="AL10" i="2"/>
  <c r="AL46" i="1" s="1"/>
  <c r="AF10" i="2"/>
  <c r="AF46" i="1" s="1"/>
  <c r="AL9" i="2"/>
  <c r="AL47" i="1" s="1"/>
  <c r="AF9" i="2"/>
  <c r="AF47" i="1" s="1"/>
  <c r="AL8" i="2"/>
  <c r="AL48" i="1" s="1"/>
  <c r="AF8" i="2"/>
  <c r="AF48" i="1" s="1"/>
  <c r="AL7" i="2"/>
  <c r="AL49" i="1" s="1"/>
  <c r="AF7" i="2"/>
  <c r="AF49" i="1" s="1"/>
  <c r="AL6" i="2"/>
  <c r="AL50" i="1" s="1"/>
  <c r="AF6" i="2"/>
  <c r="AF50" i="1" s="1"/>
  <c r="AL5" i="2"/>
  <c r="AL51" i="1" s="1"/>
  <c r="AF5" i="2"/>
  <c r="AF51" i="1" s="1"/>
  <c r="AL4" i="2"/>
  <c r="AL52" i="1" s="1"/>
  <c r="AF4" i="2"/>
  <c r="AF52" i="1" s="1"/>
  <c r="AE46" i="2"/>
  <c r="AE10" i="1" s="1"/>
  <c r="AC46" i="2"/>
  <c r="AC10" i="1" s="1"/>
  <c r="X10" i="1"/>
  <c r="Y46" i="2"/>
  <c r="Y10" i="1" s="1"/>
  <c r="Z46" i="2"/>
  <c r="Z10" i="1" s="1"/>
  <c r="V46" i="2"/>
  <c r="T46" i="2"/>
  <c r="T10" i="1" s="1"/>
  <c r="Q46" i="2"/>
  <c r="P46" i="2"/>
  <c r="N46" i="2"/>
  <c r="K46" i="2"/>
  <c r="D46" i="2"/>
  <c r="D10" i="1" s="1"/>
  <c r="F46" i="2"/>
  <c r="F10" i="1" s="1"/>
  <c r="I46" i="2"/>
  <c r="I10" i="1" s="1"/>
  <c r="AE44" i="2"/>
  <c r="AE12" i="1" s="1"/>
  <c r="AE45" i="2"/>
  <c r="AE11" i="1" s="1"/>
  <c r="AC44" i="2"/>
  <c r="AC12" i="1" s="1"/>
  <c r="AC45" i="2"/>
  <c r="AC11" i="1" s="1"/>
  <c r="X44" i="2"/>
  <c r="X12" i="1" s="1"/>
  <c r="Y44" i="2"/>
  <c r="Y12" i="1" s="1"/>
  <c r="Z44" i="2"/>
  <c r="Z12" i="1" s="1"/>
  <c r="X45" i="2"/>
  <c r="X11" i="1" s="1"/>
  <c r="Y45" i="2"/>
  <c r="Y11" i="1" s="1"/>
  <c r="Z45" i="2"/>
  <c r="Z11" i="1" s="1"/>
  <c r="V44" i="2"/>
  <c r="V45" i="2"/>
  <c r="T44" i="2"/>
  <c r="T45" i="2"/>
  <c r="Q44" i="2"/>
  <c r="K26" i="10" s="1"/>
  <c r="Q45" i="2"/>
  <c r="P45" i="2"/>
  <c r="P44" i="2"/>
  <c r="N44" i="2"/>
  <c r="N45" i="2"/>
  <c r="N11" i="1" s="1"/>
  <c r="K44" i="2"/>
  <c r="K45" i="2"/>
  <c r="D45" i="2"/>
  <c r="D11" i="1" s="1"/>
  <c r="F45" i="2"/>
  <c r="F11" i="1" s="1"/>
  <c r="I45" i="2"/>
  <c r="I11" i="1" s="1"/>
  <c r="D44" i="2"/>
  <c r="D12" i="1" s="1"/>
  <c r="F44" i="2"/>
  <c r="F12" i="1" s="1"/>
  <c r="I44" i="2"/>
  <c r="I12" i="1" s="1"/>
  <c r="X43" i="2"/>
  <c r="X13" i="1" s="1"/>
  <c r="Y43" i="2"/>
  <c r="Y13" i="1" s="1"/>
  <c r="AE43" i="2"/>
  <c r="AE13" i="1" s="1"/>
  <c r="AC43" i="2"/>
  <c r="AC13" i="1" s="1"/>
  <c r="Z43" i="2"/>
  <c r="Z13" i="1" s="1"/>
  <c r="V43" i="2"/>
  <c r="V13" i="1" s="1"/>
  <c r="T43" i="2"/>
  <c r="T13" i="1" s="1"/>
  <c r="Q43" i="2"/>
  <c r="Q13" i="1" s="1"/>
  <c r="P43" i="2"/>
  <c r="P13" i="1" s="1"/>
  <c r="N43" i="2"/>
  <c r="N13" i="1" s="1"/>
  <c r="K43" i="2"/>
  <c r="K13" i="1" s="1"/>
  <c r="D43" i="2"/>
  <c r="D13" i="1" s="1"/>
  <c r="F43" i="2"/>
  <c r="F13" i="1" s="1"/>
  <c r="I43" i="2"/>
  <c r="I13" i="1" s="1"/>
  <c r="K42" i="2"/>
  <c r="K14" i="1" s="1"/>
  <c r="N42" i="2"/>
  <c r="N14" i="1" s="1"/>
  <c r="P42" i="2"/>
  <c r="P14" i="1" s="1"/>
  <c r="Q42" i="2"/>
  <c r="Q14" i="1" s="1"/>
  <c r="T42" i="2"/>
  <c r="T14" i="1" s="1"/>
  <c r="V42" i="2"/>
  <c r="V14" i="1" s="1"/>
  <c r="X42" i="2"/>
  <c r="X14" i="1" s="1"/>
  <c r="Y42" i="2"/>
  <c r="Y14" i="1" s="1"/>
  <c r="Z42" i="2"/>
  <c r="Z14" i="1" s="1"/>
  <c r="AC42" i="2"/>
  <c r="AC14" i="1" s="1"/>
  <c r="AE42" i="2"/>
  <c r="AE14" i="1" s="1"/>
  <c r="D42" i="2"/>
  <c r="D14" i="1" s="1"/>
  <c r="F42" i="2"/>
  <c r="F14" i="1" s="1"/>
  <c r="I42" i="2"/>
  <c r="I14" i="1" s="1"/>
  <c r="X41" i="2"/>
  <c r="X15" i="1" s="1"/>
  <c r="Y41" i="2"/>
  <c r="Y15" i="1" s="1"/>
  <c r="Z41" i="2"/>
  <c r="Z15" i="1" s="1"/>
  <c r="AE41" i="2"/>
  <c r="AE15" i="1" s="1"/>
  <c r="Q41" i="2"/>
  <c r="Q15" i="1" s="1"/>
  <c r="AC41" i="2"/>
  <c r="AC15" i="1" s="1"/>
  <c r="K41" i="2"/>
  <c r="K15" i="1" s="1"/>
  <c r="V41" i="2"/>
  <c r="V15" i="1" s="1"/>
  <c r="T41" i="2"/>
  <c r="T15" i="1" s="1"/>
  <c r="P41" i="2"/>
  <c r="P15" i="1" s="1"/>
  <c r="N41" i="2"/>
  <c r="N15" i="1" s="1"/>
  <c r="D41" i="2"/>
  <c r="D15" i="1" s="1"/>
  <c r="F41" i="2"/>
  <c r="F15" i="1" s="1"/>
  <c r="I41" i="2"/>
  <c r="I15" i="1" s="1"/>
  <c r="Z40" i="2"/>
  <c r="Z16" i="1" s="1"/>
  <c r="AE40" i="2"/>
  <c r="AE16" i="1" s="1"/>
  <c r="AC40" i="2"/>
  <c r="AC16" i="1" s="1"/>
  <c r="X40" i="2"/>
  <c r="X16" i="1" s="1"/>
  <c r="Y40" i="2"/>
  <c r="Y16" i="1" s="1"/>
  <c r="V40" i="2"/>
  <c r="V16" i="1" s="1"/>
  <c r="T40" i="2"/>
  <c r="T16" i="1" s="1"/>
  <c r="Q40" i="2"/>
  <c r="Q16" i="1" s="1"/>
  <c r="P40" i="2"/>
  <c r="P16" i="1" s="1"/>
  <c r="N40" i="2"/>
  <c r="N16" i="1" s="1"/>
  <c r="K40" i="2"/>
  <c r="K16" i="1" s="1"/>
  <c r="D40" i="2"/>
  <c r="D16" i="1" s="1"/>
  <c r="F40" i="2"/>
  <c r="F16" i="1" s="1"/>
  <c r="I40" i="2"/>
  <c r="I16" i="1" s="1"/>
  <c r="AE39" i="2"/>
  <c r="AE17" i="1" s="1"/>
  <c r="AC39" i="2"/>
  <c r="AC17" i="1" s="1"/>
  <c r="Z39" i="2"/>
  <c r="Z17" i="1" s="1"/>
  <c r="X39" i="2"/>
  <c r="X17" i="1" s="1"/>
  <c r="Y39" i="2"/>
  <c r="Y17" i="1" s="1"/>
  <c r="V39" i="2"/>
  <c r="V17" i="1" s="1"/>
  <c r="T39" i="2"/>
  <c r="T17" i="1" s="1"/>
  <c r="Q39" i="2"/>
  <c r="Q17" i="1" s="1"/>
  <c r="P39" i="2"/>
  <c r="P17" i="1" s="1"/>
  <c r="N39" i="2"/>
  <c r="N17" i="1" s="1"/>
  <c r="K39" i="2"/>
  <c r="K17" i="1" s="1"/>
  <c r="D39" i="2"/>
  <c r="D17" i="1" s="1"/>
  <c r="F39" i="2"/>
  <c r="F17" i="1" s="1"/>
  <c r="I39" i="2"/>
  <c r="I17" i="1" s="1"/>
  <c r="C6" i="1" l="1"/>
  <c r="B50" i="2"/>
  <c r="C8" i="1"/>
  <c r="B51" i="2"/>
  <c r="B7" i="1" s="1"/>
  <c r="C7" i="1"/>
  <c r="W7" i="1"/>
  <c r="V12" i="1"/>
  <c r="K31" i="10"/>
  <c r="K28" i="9"/>
  <c r="W47" i="2"/>
  <c r="O37" i="16"/>
  <c r="R8" i="1"/>
  <c r="W8" i="1"/>
  <c r="N9" i="1"/>
  <c r="M28" i="14"/>
  <c r="T11" i="1"/>
  <c r="M29" i="10"/>
  <c r="Q12" i="1"/>
  <c r="L26" i="10"/>
  <c r="T12" i="1"/>
  <c r="L29" i="10"/>
  <c r="R47" i="2"/>
  <c r="O26" i="10"/>
  <c r="V9" i="1"/>
  <c r="V10" i="1"/>
  <c r="N31" i="10"/>
  <c r="Q10" i="1"/>
  <c r="N26" i="10"/>
  <c r="Q11" i="1"/>
  <c r="M26" i="10"/>
  <c r="V11" i="1"/>
  <c r="M31" i="10"/>
  <c r="AQ9" i="1"/>
  <c r="AQ10" i="1"/>
  <c r="N37" i="16"/>
  <c r="AQ11" i="1"/>
  <c r="M37" i="16"/>
  <c r="AQ12" i="1"/>
  <c r="L37" i="16"/>
  <c r="AL12" i="1"/>
  <c r="L32" i="16"/>
  <c r="AA47" i="2"/>
  <c r="O26" i="11"/>
  <c r="Z9" i="1"/>
  <c r="O29" i="11"/>
  <c r="AQ8" i="1"/>
  <c r="AM47" i="2"/>
  <c r="O32" i="16"/>
  <c r="AL9" i="1"/>
  <c r="AO9" i="1"/>
  <c r="AO10" i="1"/>
  <c r="N35" i="16"/>
  <c r="AL10" i="1"/>
  <c r="N32" i="16"/>
  <c r="AO11" i="1"/>
  <c r="M35" i="16"/>
  <c r="AL11" i="1"/>
  <c r="M32" i="16"/>
  <c r="Y9" i="1"/>
  <c r="P10" i="1"/>
  <c r="N31" i="12"/>
  <c r="N28" i="9"/>
  <c r="P11" i="1"/>
  <c r="M31" i="12"/>
  <c r="K11" i="1"/>
  <c r="M26" i="12"/>
  <c r="M28" i="9"/>
  <c r="P12" i="1"/>
  <c r="L31" i="12"/>
  <c r="L28" i="9"/>
  <c r="AG47" i="2"/>
  <c r="O27" i="16" s="1"/>
  <c r="AF10" i="1"/>
  <c r="N26" i="16"/>
  <c r="AI10" i="1"/>
  <c r="N29" i="16"/>
  <c r="W9" i="1"/>
  <c r="X9" i="1"/>
  <c r="O28" i="14"/>
  <c r="L47" i="2"/>
  <c r="O26" i="12"/>
  <c r="K9" i="1"/>
  <c r="K10" i="1"/>
  <c r="N26" i="12"/>
  <c r="N10" i="1"/>
  <c r="N29" i="12"/>
  <c r="K12" i="1"/>
  <c r="L26" i="12"/>
  <c r="N12" i="1"/>
  <c r="L29" i="12"/>
  <c r="L28" i="14"/>
  <c r="AG46" i="2"/>
  <c r="C47" i="2"/>
  <c r="B47" i="2" s="1"/>
  <c r="E9" i="6"/>
  <c r="W45" i="2"/>
  <c r="W11" i="1" s="1"/>
  <c r="W46" i="2"/>
  <c r="C44" i="2"/>
  <c r="C46" i="2"/>
  <c r="C10" i="1" s="1"/>
  <c r="W44" i="2"/>
  <c r="W12" i="1" s="1"/>
  <c r="W43" i="2"/>
  <c r="W13" i="1" s="1"/>
  <c r="C45" i="2"/>
  <c r="C43" i="2"/>
  <c r="W41" i="2"/>
  <c r="W15" i="1" s="1"/>
  <c r="W42" i="2"/>
  <c r="W14" i="1" s="1"/>
  <c r="C42" i="2"/>
  <c r="W39" i="2"/>
  <c r="W17" i="1" s="1"/>
  <c r="E12" i="6"/>
  <c r="C41" i="2"/>
  <c r="E11" i="6"/>
  <c r="W40" i="2"/>
  <c r="W16" i="1" s="1"/>
  <c r="C40" i="2"/>
  <c r="C39" i="2"/>
  <c r="B8" i="1" l="1"/>
  <c r="AM51" i="2"/>
  <c r="AM7" i="1" s="1"/>
  <c r="AG7" i="1"/>
  <c r="R51" i="2"/>
  <c r="L51" i="2"/>
  <c r="L7" i="1" s="1"/>
  <c r="AA51" i="2"/>
  <c r="O27" i="10"/>
  <c r="R9" i="1"/>
  <c r="O27" i="11"/>
  <c r="AA9" i="1"/>
  <c r="O33" i="16"/>
  <c r="AM9" i="1"/>
  <c r="AG9" i="1"/>
  <c r="O27" i="12"/>
  <c r="L9" i="1"/>
  <c r="W10" i="1"/>
  <c r="B40" i="2"/>
  <c r="B16" i="1" s="1"/>
  <c r="C16" i="1"/>
  <c r="B42" i="2"/>
  <c r="C14" i="1"/>
  <c r="B39" i="2"/>
  <c r="B17" i="1" s="1"/>
  <c r="C17" i="1"/>
  <c r="B44" i="2"/>
  <c r="C12" i="1"/>
  <c r="B43" i="2"/>
  <c r="AG42" i="2" s="1"/>
  <c r="AG14" i="1" s="1"/>
  <c r="C13" i="1"/>
  <c r="B41" i="2"/>
  <c r="B15" i="1" s="1"/>
  <c r="C15" i="1"/>
  <c r="B45" i="2"/>
  <c r="AM46" i="2" s="1"/>
  <c r="C11" i="1"/>
  <c r="B46" i="2"/>
  <c r="L45" i="2"/>
  <c r="L43" i="2"/>
  <c r="L13" i="1" s="1"/>
  <c r="AA43" i="2"/>
  <c r="AA13" i="1" s="1"/>
  <c r="AG10" i="1"/>
  <c r="L41" i="2"/>
  <c r="L15" i="1" s="1"/>
  <c r="AM44" i="2"/>
  <c r="AA40" i="2"/>
  <c r="AA16" i="1" s="1"/>
  <c r="R41" i="2"/>
  <c r="R15" i="1" s="1"/>
  <c r="AA42" i="2"/>
  <c r="AA14" i="1" s="1"/>
  <c r="AG41" i="2"/>
  <c r="AG15" i="1" s="1"/>
  <c r="AA41" i="2"/>
  <c r="AA15" i="1" s="1"/>
  <c r="AG40" i="2"/>
  <c r="AG16" i="1" s="1"/>
  <c r="AM40" i="2"/>
  <c r="AM16" i="1" s="1"/>
  <c r="AA44" i="2"/>
  <c r="AA12" i="1" s="1"/>
  <c r="L44" i="2"/>
  <c r="AA46" i="2"/>
  <c r="AA10" i="1" s="1"/>
  <c r="R40" i="2"/>
  <c r="R16" i="1" s="1"/>
  <c r="L40" i="2"/>
  <c r="L16" i="1" s="1"/>
  <c r="N38" i="2"/>
  <c r="N18" i="1" s="1"/>
  <c r="P38" i="2"/>
  <c r="P18" i="1" s="1"/>
  <c r="Q38" i="2"/>
  <c r="Q18" i="1" s="1"/>
  <c r="N27" i="11" l="1"/>
  <c r="AA7" i="1"/>
  <c r="R7" i="1"/>
  <c r="N27" i="16"/>
  <c r="AM12" i="1"/>
  <c r="L33" i="16"/>
  <c r="AM10" i="1"/>
  <c r="N33" i="16"/>
  <c r="L11" i="1"/>
  <c r="M27" i="12"/>
  <c r="L12" i="1"/>
  <c r="L27" i="12"/>
  <c r="L46" i="2"/>
  <c r="B12" i="1"/>
  <c r="AM43" i="2"/>
  <c r="AM13" i="1" s="1"/>
  <c r="AM42" i="2"/>
  <c r="AM14" i="1" s="1"/>
  <c r="AA45" i="2"/>
  <c r="AA11" i="1" s="1"/>
  <c r="R42" i="2"/>
  <c r="R14" i="1" s="1"/>
  <c r="R46" i="2"/>
  <c r="N27" i="10" s="1"/>
  <c r="AG44" i="2"/>
  <c r="AG12" i="1" s="1"/>
  <c r="R45" i="2"/>
  <c r="R44" i="2"/>
  <c r="K27" i="10" s="1"/>
  <c r="B13" i="1"/>
  <c r="AM45" i="2"/>
  <c r="R43" i="2"/>
  <c r="R13" i="1" s="1"/>
  <c r="B14" i="1"/>
  <c r="AM41" i="2"/>
  <c r="AM15" i="1" s="1"/>
  <c r="AG43" i="2"/>
  <c r="AG13" i="1" s="1"/>
  <c r="L42" i="2"/>
  <c r="L14" i="1" s="1"/>
  <c r="AG45" i="2"/>
  <c r="AG11" i="1" s="1"/>
  <c r="AE38" i="2"/>
  <c r="AE18" i="1" s="1"/>
  <c r="AC38" i="2"/>
  <c r="AC18" i="1" s="1"/>
  <c r="Z38" i="2"/>
  <c r="Z18" i="1" s="1"/>
  <c r="Y38" i="2"/>
  <c r="Y18" i="1" s="1"/>
  <c r="X38" i="2"/>
  <c r="X18" i="1" s="1"/>
  <c r="V38" i="2"/>
  <c r="V18" i="1" s="1"/>
  <c r="T38" i="2"/>
  <c r="T18" i="1" s="1"/>
  <c r="K38" i="2"/>
  <c r="K18" i="1" s="1"/>
  <c r="I38" i="2"/>
  <c r="I18" i="1" s="1"/>
  <c r="F38" i="2"/>
  <c r="F18" i="1" s="1"/>
  <c r="D38" i="2"/>
  <c r="D18" i="1" s="1"/>
  <c r="R12" i="1" l="1"/>
  <c r="L27" i="10"/>
  <c r="R11" i="1"/>
  <c r="M27" i="10"/>
  <c r="AM11" i="1"/>
  <c r="M33" i="16"/>
  <c r="L10" i="1"/>
  <c r="N27" i="12"/>
  <c r="R10" i="1"/>
  <c r="C38" i="2"/>
  <c r="W38" i="2"/>
  <c r="W18" i="1" s="1"/>
  <c r="B38" i="2" l="1"/>
  <c r="B18" i="1" s="1"/>
  <c r="C18" i="1"/>
  <c r="AM39" i="2"/>
  <c r="AM17" i="1" s="1"/>
  <c r="AG39" i="2"/>
  <c r="AG17" i="1" s="1"/>
  <c r="K4" i="2"/>
  <c r="K52" i="1" s="1"/>
  <c r="AE37" i="2" l="1"/>
  <c r="AE19" i="1" s="1"/>
  <c r="AC37" i="2"/>
  <c r="AC19" i="1" s="1"/>
  <c r="Z37" i="2"/>
  <c r="Z19" i="1" s="1"/>
  <c r="Y37" i="2"/>
  <c r="Y19" i="1" s="1"/>
  <c r="X37" i="2"/>
  <c r="X19" i="1" s="1"/>
  <c r="V37" i="2"/>
  <c r="V19" i="1" s="1"/>
  <c r="T37" i="2"/>
  <c r="T19" i="1" s="1"/>
  <c r="Q37" i="2"/>
  <c r="Q19" i="1" s="1"/>
  <c r="P37" i="2"/>
  <c r="P19" i="1" s="1"/>
  <c r="N37" i="2"/>
  <c r="N19" i="1" s="1"/>
  <c r="K37" i="2"/>
  <c r="K19" i="1" s="1"/>
  <c r="I37" i="2"/>
  <c r="I19" i="1" s="1"/>
  <c r="F37" i="2"/>
  <c r="F19" i="1" s="1"/>
  <c r="D37" i="2"/>
  <c r="D19" i="1" s="1"/>
  <c r="AE36" i="2"/>
  <c r="AE20" i="1" s="1"/>
  <c r="AC36" i="2"/>
  <c r="AC20" i="1" s="1"/>
  <c r="Z36" i="2"/>
  <c r="Z20" i="1" s="1"/>
  <c r="Y36" i="2"/>
  <c r="Y20" i="1" s="1"/>
  <c r="X36" i="2"/>
  <c r="X20" i="1" s="1"/>
  <c r="V36" i="2"/>
  <c r="V20" i="1" s="1"/>
  <c r="T36" i="2"/>
  <c r="T20" i="1" s="1"/>
  <c r="Q36" i="2"/>
  <c r="Q20" i="1" s="1"/>
  <c r="P36" i="2"/>
  <c r="P20" i="1" s="1"/>
  <c r="N36" i="2"/>
  <c r="N20" i="1" s="1"/>
  <c r="K36" i="2"/>
  <c r="K20" i="1" s="1"/>
  <c r="I36" i="2"/>
  <c r="I20" i="1" s="1"/>
  <c r="F36" i="2"/>
  <c r="F20" i="1" s="1"/>
  <c r="D36" i="2"/>
  <c r="D20" i="1" s="1"/>
  <c r="AE35" i="2"/>
  <c r="AE21" i="1" s="1"/>
  <c r="AC35" i="2"/>
  <c r="AC21" i="1" s="1"/>
  <c r="Z35" i="2"/>
  <c r="Z21" i="1" s="1"/>
  <c r="Y35" i="2"/>
  <c r="Y21" i="1" s="1"/>
  <c r="X35" i="2"/>
  <c r="X21" i="1" s="1"/>
  <c r="V35" i="2"/>
  <c r="V21" i="1" s="1"/>
  <c r="T35" i="2"/>
  <c r="T21" i="1" s="1"/>
  <c r="Q35" i="2"/>
  <c r="Q21" i="1" s="1"/>
  <c r="P35" i="2"/>
  <c r="P21" i="1" s="1"/>
  <c r="N35" i="2"/>
  <c r="N21" i="1" s="1"/>
  <c r="K35" i="2"/>
  <c r="K21" i="1" s="1"/>
  <c r="I35" i="2"/>
  <c r="I21" i="1" s="1"/>
  <c r="F35" i="2"/>
  <c r="F21" i="1" s="1"/>
  <c r="D35" i="2"/>
  <c r="D21" i="1" s="1"/>
  <c r="AE34" i="2"/>
  <c r="AE22" i="1" s="1"/>
  <c r="AC34" i="2"/>
  <c r="AC22" i="1" s="1"/>
  <c r="Z34" i="2"/>
  <c r="Z22" i="1" s="1"/>
  <c r="Y34" i="2"/>
  <c r="Y22" i="1" s="1"/>
  <c r="X34" i="2"/>
  <c r="X22" i="1" s="1"/>
  <c r="V34" i="2"/>
  <c r="V22" i="1" s="1"/>
  <c r="T34" i="2"/>
  <c r="T22" i="1" s="1"/>
  <c r="Q34" i="2"/>
  <c r="Q22" i="1" s="1"/>
  <c r="P34" i="2"/>
  <c r="P22" i="1" s="1"/>
  <c r="N34" i="2"/>
  <c r="N22" i="1" s="1"/>
  <c r="K34" i="2"/>
  <c r="K22" i="1" s="1"/>
  <c r="I34" i="2"/>
  <c r="I22" i="1" s="1"/>
  <c r="F34" i="2"/>
  <c r="F22" i="1" s="1"/>
  <c r="D34" i="2"/>
  <c r="D22" i="1" s="1"/>
  <c r="AE33" i="2"/>
  <c r="AE23" i="1" s="1"/>
  <c r="AC33" i="2"/>
  <c r="AC23" i="1" s="1"/>
  <c r="Z33" i="2"/>
  <c r="Z23" i="1" s="1"/>
  <c r="Y33" i="2"/>
  <c r="Y23" i="1" s="1"/>
  <c r="X33" i="2"/>
  <c r="X23" i="1" s="1"/>
  <c r="V33" i="2"/>
  <c r="V23" i="1" s="1"/>
  <c r="T33" i="2"/>
  <c r="T23" i="1" s="1"/>
  <c r="Q33" i="2"/>
  <c r="Q23" i="1" s="1"/>
  <c r="P33" i="2"/>
  <c r="P23" i="1" s="1"/>
  <c r="N33" i="2"/>
  <c r="N23" i="1" s="1"/>
  <c r="K33" i="2"/>
  <c r="K23" i="1" s="1"/>
  <c r="I33" i="2"/>
  <c r="I23" i="1" s="1"/>
  <c r="F33" i="2"/>
  <c r="F23" i="1" s="1"/>
  <c r="D33" i="2"/>
  <c r="D23" i="1" s="1"/>
  <c r="AE32" i="2"/>
  <c r="AE24" i="1" s="1"/>
  <c r="AC32" i="2"/>
  <c r="AC24" i="1" s="1"/>
  <c r="Z32" i="2"/>
  <c r="Z24" i="1" s="1"/>
  <c r="Y32" i="2"/>
  <c r="Y24" i="1" s="1"/>
  <c r="X32" i="2"/>
  <c r="X24" i="1" s="1"/>
  <c r="V32" i="2"/>
  <c r="V24" i="1" s="1"/>
  <c r="T32" i="2"/>
  <c r="T24" i="1" s="1"/>
  <c r="Q32" i="2"/>
  <c r="Q24" i="1" s="1"/>
  <c r="P32" i="2"/>
  <c r="P24" i="1" s="1"/>
  <c r="N32" i="2"/>
  <c r="N24" i="1" s="1"/>
  <c r="K32" i="2"/>
  <c r="K24" i="1" s="1"/>
  <c r="I32" i="2"/>
  <c r="I24" i="1" s="1"/>
  <c r="F32" i="2"/>
  <c r="F24" i="1" s="1"/>
  <c r="D32" i="2"/>
  <c r="D24" i="1" s="1"/>
  <c r="AE31" i="2"/>
  <c r="AE25" i="1" s="1"/>
  <c r="AC31" i="2"/>
  <c r="AC25" i="1" s="1"/>
  <c r="Z31" i="2"/>
  <c r="Z25" i="1" s="1"/>
  <c r="Y31" i="2"/>
  <c r="Y25" i="1" s="1"/>
  <c r="X31" i="2"/>
  <c r="X25" i="1" s="1"/>
  <c r="V31" i="2"/>
  <c r="V25" i="1" s="1"/>
  <c r="T31" i="2"/>
  <c r="T25" i="1" s="1"/>
  <c r="Q31" i="2"/>
  <c r="Q25" i="1" s="1"/>
  <c r="P31" i="2"/>
  <c r="P25" i="1" s="1"/>
  <c r="N31" i="2"/>
  <c r="N25" i="1" s="1"/>
  <c r="K31" i="2"/>
  <c r="K25" i="1" s="1"/>
  <c r="I31" i="2"/>
  <c r="I25" i="1" s="1"/>
  <c r="F31" i="2"/>
  <c r="F25" i="1" s="1"/>
  <c r="D31" i="2"/>
  <c r="D25" i="1" s="1"/>
  <c r="AE30" i="2"/>
  <c r="AE26" i="1" s="1"/>
  <c r="AC30" i="2"/>
  <c r="AC26" i="1" s="1"/>
  <c r="Z30" i="2"/>
  <c r="Z26" i="1" s="1"/>
  <c r="Y30" i="2"/>
  <c r="Y26" i="1" s="1"/>
  <c r="X30" i="2"/>
  <c r="X26" i="1" s="1"/>
  <c r="V30" i="2"/>
  <c r="V26" i="1" s="1"/>
  <c r="T30" i="2"/>
  <c r="T26" i="1" s="1"/>
  <c r="Q30" i="2"/>
  <c r="Q26" i="1" s="1"/>
  <c r="P30" i="2"/>
  <c r="P26" i="1" s="1"/>
  <c r="N30" i="2"/>
  <c r="N26" i="1" s="1"/>
  <c r="K30" i="2"/>
  <c r="K26" i="1" s="1"/>
  <c r="I30" i="2"/>
  <c r="I26" i="1" s="1"/>
  <c r="F30" i="2"/>
  <c r="F26" i="1" s="1"/>
  <c r="D30" i="2"/>
  <c r="D26" i="1" s="1"/>
  <c r="AE29" i="2"/>
  <c r="AE27" i="1" s="1"/>
  <c r="AC29" i="2"/>
  <c r="AC27" i="1" s="1"/>
  <c r="Z29" i="2"/>
  <c r="Z27" i="1" s="1"/>
  <c r="Y29" i="2"/>
  <c r="Y27" i="1" s="1"/>
  <c r="X29" i="2"/>
  <c r="X27" i="1" s="1"/>
  <c r="V29" i="2"/>
  <c r="V27" i="1" s="1"/>
  <c r="T29" i="2"/>
  <c r="T27" i="1" s="1"/>
  <c r="Q29" i="2"/>
  <c r="Q27" i="1" s="1"/>
  <c r="P29" i="2"/>
  <c r="P27" i="1" s="1"/>
  <c r="N29" i="2"/>
  <c r="N27" i="1" s="1"/>
  <c r="K29" i="2"/>
  <c r="K27" i="1" s="1"/>
  <c r="I29" i="2"/>
  <c r="I27" i="1" s="1"/>
  <c r="F29" i="2"/>
  <c r="F27" i="1" s="1"/>
  <c r="D29" i="2"/>
  <c r="D27" i="1" s="1"/>
  <c r="AE28" i="2"/>
  <c r="AE28" i="1" s="1"/>
  <c r="AC28" i="2"/>
  <c r="AC28" i="1" s="1"/>
  <c r="Z28" i="2"/>
  <c r="Z28" i="1" s="1"/>
  <c r="Y28" i="2"/>
  <c r="Y28" i="1" s="1"/>
  <c r="X28" i="2"/>
  <c r="X28" i="1" s="1"/>
  <c r="V28" i="2"/>
  <c r="V28" i="1" s="1"/>
  <c r="T28" i="2"/>
  <c r="T28" i="1" s="1"/>
  <c r="Q28" i="2"/>
  <c r="Q28" i="1" s="1"/>
  <c r="P28" i="2"/>
  <c r="P28" i="1" s="1"/>
  <c r="N28" i="2"/>
  <c r="N28" i="1" s="1"/>
  <c r="K28" i="2"/>
  <c r="K28" i="1" s="1"/>
  <c r="I28" i="2"/>
  <c r="I28" i="1" s="1"/>
  <c r="F28" i="2"/>
  <c r="F28" i="1" s="1"/>
  <c r="D28" i="2"/>
  <c r="D28" i="1" s="1"/>
  <c r="AE27" i="2"/>
  <c r="AE29" i="1" s="1"/>
  <c r="AC27" i="2"/>
  <c r="AC29" i="1" s="1"/>
  <c r="Z27" i="2"/>
  <c r="Z29" i="1" s="1"/>
  <c r="Y27" i="2"/>
  <c r="Y29" i="1" s="1"/>
  <c r="X27" i="2"/>
  <c r="X29" i="1" s="1"/>
  <c r="V27" i="2"/>
  <c r="V29" i="1" s="1"/>
  <c r="T27" i="2"/>
  <c r="T29" i="1" s="1"/>
  <c r="Q27" i="2"/>
  <c r="Q29" i="1" s="1"/>
  <c r="P27" i="2"/>
  <c r="P29" i="1" s="1"/>
  <c r="N27" i="2"/>
  <c r="N29" i="1" s="1"/>
  <c r="K27" i="2"/>
  <c r="K29" i="1" s="1"/>
  <c r="I27" i="2"/>
  <c r="I29" i="1" s="1"/>
  <c r="F27" i="2"/>
  <c r="F29" i="1" s="1"/>
  <c r="D27" i="2"/>
  <c r="D29" i="1" s="1"/>
  <c r="AE26" i="2"/>
  <c r="AE30" i="1" s="1"/>
  <c r="AC26" i="2"/>
  <c r="AC30" i="1" s="1"/>
  <c r="Z26" i="2"/>
  <c r="Z30" i="1" s="1"/>
  <c r="Y26" i="2"/>
  <c r="Y30" i="1" s="1"/>
  <c r="X26" i="2"/>
  <c r="X30" i="1" s="1"/>
  <c r="V26" i="2"/>
  <c r="V30" i="1" s="1"/>
  <c r="T26" i="2"/>
  <c r="T30" i="1" s="1"/>
  <c r="Q26" i="2"/>
  <c r="Q30" i="1" s="1"/>
  <c r="P26" i="2"/>
  <c r="P30" i="1" s="1"/>
  <c r="N26" i="2"/>
  <c r="N30" i="1" s="1"/>
  <c r="K26" i="2"/>
  <c r="K30" i="1" s="1"/>
  <c r="I26" i="2"/>
  <c r="I30" i="1" s="1"/>
  <c r="F26" i="2"/>
  <c r="F30" i="1" s="1"/>
  <c r="D26" i="2"/>
  <c r="D30" i="1" s="1"/>
  <c r="AE25" i="2"/>
  <c r="AE31" i="1" s="1"/>
  <c r="AC25" i="2"/>
  <c r="AC31" i="1" s="1"/>
  <c r="Z25" i="2"/>
  <c r="Z31" i="1" s="1"/>
  <c r="Y25" i="2"/>
  <c r="Y31" i="1" s="1"/>
  <c r="X25" i="2"/>
  <c r="X31" i="1" s="1"/>
  <c r="V25" i="2"/>
  <c r="V31" i="1" s="1"/>
  <c r="T25" i="2"/>
  <c r="T31" i="1" s="1"/>
  <c r="Q25" i="2"/>
  <c r="Q31" i="1" s="1"/>
  <c r="P25" i="2"/>
  <c r="P31" i="1" s="1"/>
  <c r="N25" i="2"/>
  <c r="N31" i="1" s="1"/>
  <c r="K25" i="2"/>
  <c r="K31" i="1" s="1"/>
  <c r="I25" i="2"/>
  <c r="I31" i="1" s="1"/>
  <c r="F25" i="2"/>
  <c r="F31" i="1" s="1"/>
  <c r="D25" i="2"/>
  <c r="D31" i="1" s="1"/>
  <c r="AE24" i="2"/>
  <c r="AE32" i="1" s="1"/>
  <c r="AC24" i="2"/>
  <c r="AC32" i="1" s="1"/>
  <c r="Z24" i="2"/>
  <c r="Z32" i="1" s="1"/>
  <c r="Y24" i="2"/>
  <c r="Y32" i="1" s="1"/>
  <c r="X24" i="2"/>
  <c r="X32" i="1" s="1"/>
  <c r="V24" i="2"/>
  <c r="V32" i="1" s="1"/>
  <c r="T24" i="2"/>
  <c r="T32" i="1" s="1"/>
  <c r="Q24" i="2"/>
  <c r="Q32" i="1" s="1"/>
  <c r="P24" i="2"/>
  <c r="P32" i="1" s="1"/>
  <c r="N24" i="2"/>
  <c r="N32" i="1" s="1"/>
  <c r="K24" i="2"/>
  <c r="K32" i="1" s="1"/>
  <c r="I24" i="2"/>
  <c r="I32" i="1" s="1"/>
  <c r="F24" i="2"/>
  <c r="F32" i="1" s="1"/>
  <c r="D24" i="2"/>
  <c r="D32" i="1" s="1"/>
  <c r="AE23" i="2"/>
  <c r="AE33" i="1" s="1"/>
  <c r="AC23" i="2"/>
  <c r="AC33" i="1" s="1"/>
  <c r="Z23" i="2"/>
  <c r="Z33" i="1" s="1"/>
  <c r="Y23" i="2"/>
  <c r="Y33" i="1" s="1"/>
  <c r="X23" i="2"/>
  <c r="X33" i="1" s="1"/>
  <c r="V23" i="2"/>
  <c r="V33" i="1" s="1"/>
  <c r="T23" i="2"/>
  <c r="T33" i="1" s="1"/>
  <c r="Q23" i="2"/>
  <c r="Q33" i="1" s="1"/>
  <c r="P23" i="2"/>
  <c r="P33" i="1" s="1"/>
  <c r="N23" i="2"/>
  <c r="N33" i="1" s="1"/>
  <c r="K23" i="2"/>
  <c r="K33" i="1" s="1"/>
  <c r="I23" i="2"/>
  <c r="I33" i="1" s="1"/>
  <c r="F23" i="2"/>
  <c r="F33" i="1" s="1"/>
  <c r="D23" i="2"/>
  <c r="D33" i="1" s="1"/>
  <c r="AE22" i="2"/>
  <c r="AE34" i="1" s="1"/>
  <c r="AC22" i="2"/>
  <c r="AC34" i="1" s="1"/>
  <c r="Z22" i="2"/>
  <c r="Z34" i="1" s="1"/>
  <c r="Y22" i="2"/>
  <c r="Y34" i="1" s="1"/>
  <c r="X22" i="2"/>
  <c r="X34" i="1" s="1"/>
  <c r="V22" i="2"/>
  <c r="V34" i="1" s="1"/>
  <c r="T22" i="2"/>
  <c r="T34" i="1" s="1"/>
  <c r="Q22" i="2"/>
  <c r="Q34" i="1" s="1"/>
  <c r="P22" i="2"/>
  <c r="P34" i="1" s="1"/>
  <c r="N22" i="2"/>
  <c r="N34" i="1" s="1"/>
  <c r="K22" i="2"/>
  <c r="K34" i="1" s="1"/>
  <c r="I22" i="2"/>
  <c r="I34" i="1" s="1"/>
  <c r="F22" i="2"/>
  <c r="F34" i="1" s="1"/>
  <c r="D22" i="2"/>
  <c r="D34" i="1" s="1"/>
  <c r="AE21" i="2"/>
  <c r="AE35" i="1" s="1"/>
  <c r="AC21" i="2"/>
  <c r="AC35" i="1" s="1"/>
  <c r="Z21" i="2"/>
  <c r="Z35" i="1" s="1"/>
  <c r="Y21" i="2"/>
  <c r="Y35" i="1" s="1"/>
  <c r="X21" i="2"/>
  <c r="X35" i="1" s="1"/>
  <c r="V21" i="2"/>
  <c r="V35" i="1" s="1"/>
  <c r="T21" i="2"/>
  <c r="T35" i="1" s="1"/>
  <c r="Q21" i="2"/>
  <c r="Q35" i="1" s="1"/>
  <c r="P21" i="2"/>
  <c r="P35" i="1" s="1"/>
  <c r="N21" i="2"/>
  <c r="N35" i="1" s="1"/>
  <c r="K21" i="2"/>
  <c r="K35" i="1" s="1"/>
  <c r="I21" i="2"/>
  <c r="I35" i="1" s="1"/>
  <c r="F21" i="2"/>
  <c r="F35" i="1" s="1"/>
  <c r="D21" i="2"/>
  <c r="D35" i="1" s="1"/>
  <c r="AE20" i="2"/>
  <c r="AE36" i="1" s="1"/>
  <c r="AC20" i="2"/>
  <c r="AC36" i="1" s="1"/>
  <c r="Z20" i="2"/>
  <c r="Z36" i="1" s="1"/>
  <c r="Y20" i="2"/>
  <c r="Y36" i="1" s="1"/>
  <c r="X20" i="2"/>
  <c r="X36" i="1" s="1"/>
  <c r="V20" i="2"/>
  <c r="V36" i="1" s="1"/>
  <c r="T20" i="2"/>
  <c r="T36" i="1" s="1"/>
  <c r="Q20" i="2"/>
  <c r="Q36" i="1" s="1"/>
  <c r="P20" i="2"/>
  <c r="P36" i="1" s="1"/>
  <c r="N20" i="2"/>
  <c r="N36" i="1" s="1"/>
  <c r="K20" i="2"/>
  <c r="K36" i="1" s="1"/>
  <c r="I20" i="2"/>
  <c r="I36" i="1" s="1"/>
  <c r="F20" i="2"/>
  <c r="F36" i="1" s="1"/>
  <c r="D20" i="2"/>
  <c r="D36" i="1" s="1"/>
  <c r="AE19" i="2"/>
  <c r="AE37" i="1" s="1"/>
  <c r="AC19" i="2"/>
  <c r="AC37" i="1" s="1"/>
  <c r="Z19" i="2"/>
  <c r="Z37" i="1" s="1"/>
  <c r="Y19" i="2"/>
  <c r="Y37" i="1" s="1"/>
  <c r="X19" i="2"/>
  <c r="X37" i="1" s="1"/>
  <c r="V19" i="2"/>
  <c r="V37" i="1" s="1"/>
  <c r="T19" i="2"/>
  <c r="T37" i="1" s="1"/>
  <c r="Q19" i="2"/>
  <c r="Q37" i="1" s="1"/>
  <c r="P19" i="2"/>
  <c r="P37" i="1" s="1"/>
  <c r="N19" i="2"/>
  <c r="N37" i="1" s="1"/>
  <c r="K19" i="2"/>
  <c r="K37" i="1" s="1"/>
  <c r="I19" i="2"/>
  <c r="I37" i="1" s="1"/>
  <c r="F19" i="2"/>
  <c r="F37" i="1" s="1"/>
  <c r="D19" i="2"/>
  <c r="D37" i="1" s="1"/>
  <c r="AE18" i="2"/>
  <c r="AE38" i="1" s="1"/>
  <c r="AC18" i="2"/>
  <c r="AC38" i="1" s="1"/>
  <c r="Z18" i="2"/>
  <c r="Z38" i="1" s="1"/>
  <c r="Y18" i="2"/>
  <c r="Y38" i="1" s="1"/>
  <c r="X18" i="2"/>
  <c r="X38" i="1" s="1"/>
  <c r="V18" i="2"/>
  <c r="V38" i="1" s="1"/>
  <c r="T18" i="2"/>
  <c r="T38" i="1" s="1"/>
  <c r="Q18" i="2"/>
  <c r="Q38" i="1" s="1"/>
  <c r="P18" i="2"/>
  <c r="P38" i="1" s="1"/>
  <c r="N18" i="2"/>
  <c r="N38" i="1" s="1"/>
  <c r="K18" i="2"/>
  <c r="K38" i="1" s="1"/>
  <c r="I18" i="2"/>
  <c r="I38" i="1" s="1"/>
  <c r="F18" i="2"/>
  <c r="F38" i="1" s="1"/>
  <c r="D18" i="2"/>
  <c r="D38" i="1" s="1"/>
  <c r="AE17" i="2"/>
  <c r="AE39" i="1" s="1"/>
  <c r="AC17" i="2"/>
  <c r="AC39" i="1" s="1"/>
  <c r="Z17" i="2"/>
  <c r="Z39" i="1" s="1"/>
  <c r="Y17" i="2"/>
  <c r="Y39" i="1" s="1"/>
  <c r="X17" i="2"/>
  <c r="X39" i="1" s="1"/>
  <c r="V17" i="2"/>
  <c r="V39" i="1" s="1"/>
  <c r="T17" i="2"/>
  <c r="T39" i="1" s="1"/>
  <c r="Q17" i="2"/>
  <c r="Q39" i="1" s="1"/>
  <c r="P17" i="2"/>
  <c r="P39" i="1" s="1"/>
  <c r="N17" i="2"/>
  <c r="N39" i="1" s="1"/>
  <c r="K17" i="2"/>
  <c r="K39" i="1" s="1"/>
  <c r="I17" i="2"/>
  <c r="I39" i="1" s="1"/>
  <c r="F17" i="2"/>
  <c r="F39" i="1" s="1"/>
  <c r="D17" i="2"/>
  <c r="D39" i="1" s="1"/>
  <c r="AE16" i="2"/>
  <c r="AE40" i="1" s="1"/>
  <c r="AC16" i="2"/>
  <c r="AC40" i="1" s="1"/>
  <c r="Z16" i="2"/>
  <c r="Z40" i="1" s="1"/>
  <c r="Y16" i="2"/>
  <c r="Y40" i="1" s="1"/>
  <c r="X16" i="2"/>
  <c r="X40" i="1" s="1"/>
  <c r="V16" i="2"/>
  <c r="V40" i="1" s="1"/>
  <c r="T16" i="2"/>
  <c r="T40" i="1" s="1"/>
  <c r="Q16" i="2"/>
  <c r="Q40" i="1" s="1"/>
  <c r="P16" i="2"/>
  <c r="P40" i="1" s="1"/>
  <c r="N16" i="2"/>
  <c r="N40" i="1" s="1"/>
  <c r="K16" i="2"/>
  <c r="K40" i="1" s="1"/>
  <c r="I16" i="2"/>
  <c r="I40" i="1" s="1"/>
  <c r="F16" i="2"/>
  <c r="F40" i="1" s="1"/>
  <c r="D16" i="2"/>
  <c r="D40" i="1" s="1"/>
  <c r="AE15" i="2"/>
  <c r="AE41" i="1" s="1"/>
  <c r="AC15" i="2"/>
  <c r="AC41" i="1" s="1"/>
  <c r="Z15" i="2"/>
  <c r="Z41" i="1" s="1"/>
  <c r="Y15" i="2"/>
  <c r="Y41" i="1" s="1"/>
  <c r="X15" i="2"/>
  <c r="X41" i="1" s="1"/>
  <c r="V15" i="2"/>
  <c r="V41" i="1" s="1"/>
  <c r="T15" i="2"/>
  <c r="T41" i="1" s="1"/>
  <c r="Q15" i="2"/>
  <c r="Q41" i="1" s="1"/>
  <c r="P15" i="2"/>
  <c r="P41" i="1" s="1"/>
  <c r="N15" i="2"/>
  <c r="N41" i="1" s="1"/>
  <c r="K15" i="2"/>
  <c r="K41" i="1" s="1"/>
  <c r="I15" i="2"/>
  <c r="I41" i="1" s="1"/>
  <c r="F15" i="2"/>
  <c r="F41" i="1" s="1"/>
  <c r="D15" i="2"/>
  <c r="D41" i="1" s="1"/>
  <c r="AE14" i="2"/>
  <c r="AE42" i="1" s="1"/>
  <c r="AC14" i="2"/>
  <c r="AC42" i="1" s="1"/>
  <c r="Z14" i="2"/>
  <c r="Z42" i="1" s="1"/>
  <c r="Y14" i="2"/>
  <c r="Y42" i="1" s="1"/>
  <c r="X14" i="2"/>
  <c r="X42" i="1" s="1"/>
  <c r="V14" i="2"/>
  <c r="V42" i="1" s="1"/>
  <c r="T14" i="2"/>
  <c r="T42" i="1" s="1"/>
  <c r="Q14" i="2"/>
  <c r="Q42" i="1" s="1"/>
  <c r="P14" i="2"/>
  <c r="P42" i="1" s="1"/>
  <c r="N14" i="2"/>
  <c r="N42" i="1" s="1"/>
  <c r="K14" i="2"/>
  <c r="K42" i="1" s="1"/>
  <c r="I14" i="2"/>
  <c r="I42" i="1" s="1"/>
  <c r="F14" i="2"/>
  <c r="F42" i="1" s="1"/>
  <c r="D14" i="2"/>
  <c r="D42" i="1" s="1"/>
  <c r="AE13" i="2"/>
  <c r="AE43" i="1" s="1"/>
  <c r="AC13" i="2"/>
  <c r="AC43" i="1" s="1"/>
  <c r="Z13" i="2"/>
  <c r="Z43" i="1" s="1"/>
  <c r="Y13" i="2"/>
  <c r="Y43" i="1" s="1"/>
  <c r="X13" i="2"/>
  <c r="X43" i="1" s="1"/>
  <c r="V13" i="2"/>
  <c r="V43" i="1" s="1"/>
  <c r="T13" i="2"/>
  <c r="T43" i="1" s="1"/>
  <c r="Q13" i="2"/>
  <c r="Q43" i="1" s="1"/>
  <c r="P13" i="2"/>
  <c r="P43" i="1" s="1"/>
  <c r="N13" i="2"/>
  <c r="N43" i="1" s="1"/>
  <c r="K13" i="2"/>
  <c r="K43" i="1" s="1"/>
  <c r="I13" i="2"/>
  <c r="I43" i="1" s="1"/>
  <c r="F13" i="2"/>
  <c r="F43" i="1" s="1"/>
  <c r="D13" i="2"/>
  <c r="D43" i="1" s="1"/>
  <c r="AE12" i="2"/>
  <c r="AE44" i="1" s="1"/>
  <c r="AC12" i="2"/>
  <c r="AC44" i="1" s="1"/>
  <c r="Z12" i="2"/>
  <c r="Z44" i="1" s="1"/>
  <c r="Y12" i="2"/>
  <c r="Y44" i="1" s="1"/>
  <c r="X12" i="2"/>
  <c r="X44" i="1" s="1"/>
  <c r="V12" i="2"/>
  <c r="V44" i="1" s="1"/>
  <c r="T12" i="2"/>
  <c r="T44" i="1" s="1"/>
  <c r="Q12" i="2"/>
  <c r="Q44" i="1" s="1"/>
  <c r="P12" i="2"/>
  <c r="P44" i="1" s="1"/>
  <c r="N12" i="2"/>
  <c r="N44" i="1" s="1"/>
  <c r="K12" i="2"/>
  <c r="K44" i="1" s="1"/>
  <c r="I12" i="2"/>
  <c r="I44" i="1" s="1"/>
  <c r="F12" i="2"/>
  <c r="F44" i="1" s="1"/>
  <c r="D12" i="2"/>
  <c r="D44" i="1" s="1"/>
  <c r="AE11" i="2"/>
  <c r="AE45" i="1" s="1"/>
  <c r="AC11" i="2"/>
  <c r="AC45" i="1" s="1"/>
  <c r="Z11" i="2"/>
  <c r="Z45" i="1" s="1"/>
  <c r="Y11" i="2"/>
  <c r="Y45" i="1" s="1"/>
  <c r="X11" i="2"/>
  <c r="X45" i="1" s="1"/>
  <c r="V11" i="2"/>
  <c r="V45" i="1" s="1"/>
  <c r="T11" i="2"/>
  <c r="T45" i="1" s="1"/>
  <c r="Q11" i="2"/>
  <c r="Q45" i="1" s="1"/>
  <c r="P11" i="2"/>
  <c r="P45" i="1" s="1"/>
  <c r="N11" i="2"/>
  <c r="N45" i="1" s="1"/>
  <c r="K11" i="2"/>
  <c r="K45" i="1" s="1"/>
  <c r="I11" i="2"/>
  <c r="I45" i="1" s="1"/>
  <c r="F11" i="2"/>
  <c r="F45" i="1" s="1"/>
  <c r="D11" i="2"/>
  <c r="D45" i="1" s="1"/>
  <c r="AE10" i="2"/>
  <c r="AE46" i="1" s="1"/>
  <c r="AC10" i="2"/>
  <c r="AC46" i="1" s="1"/>
  <c r="Z10" i="2"/>
  <c r="Z46" i="1" s="1"/>
  <c r="Y10" i="2"/>
  <c r="Y46" i="1" s="1"/>
  <c r="X10" i="2"/>
  <c r="X46" i="1" s="1"/>
  <c r="V10" i="2"/>
  <c r="V46" i="1" s="1"/>
  <c r="T10" i="2"/>
  <c r="T46" i="1" s="1"/>
  <c r="Q10" i="2"/>
  <c r="Q46" i="1" s="1"/>
  <c r="P10" i="2"/>
  <c r="P46" i="1" s="1"/>
  <c r="N10" i="2"/>
  <c r="N46" i="1" s="1"/>
  <c r="K10" i="2"/>
  <c r="K46" i="1" s="1"/>
  <c r="I10" i="2"/>
  <c r="I46" i="1" s="1"/>
  <c r="F10" i="2"/>
  <c r="F46" i="1" s="1"/>
  <c r="D10" i="2"/>
  <c r="D46" i="1" s="1"/>
  <c r="AE9" i="2"/>
  <c r="AE47" i="1" s="1"/>
  <c r="AC9" i="2"/>
  <c r="AC47" i="1" s="1"/>
  <c r="Z9" i="2"/>
  <c r="Z47" i="1" s="1"/>
  <c r="Y9" i="2"/>
  <c r="Y47" i="1" s="1"/>
  <c r="X9" i="2"/>
  <c r="X47" i="1" s="1"/>
  <c r="V9" i="2"/>
  <c r="V47" i="1" s="1"/>
  <c r="T9" i="2"/>
  <c r="T47" i="1" s="1"/>
  <c r="Q9" i="2"/>
  <c r="Q47" i="1" s="1"/>
  <c r="P9" i="2"/>
  <c r="P47" i="1" s="1"/>
  <c r="N9" i="2"/>
  <c r="N47" i="1" s="1"/>
  <c r="K9" i="2"/>
  <c r="K47" i="1" s="1"/>
  <c r="I9" i="2"/>
  <c r="I47" i="1" s="1"/>
  <c r="F9" i="2"/>
  <c r="F47" i="1" s="1"/>
  <c r="D9" i="2"/>
  <c r="D47" i="1" s="1"/>
  <c r="AE8" i="2"/>
  <c r="AE48" i="1" s="1"/>
  <c r="AC8" i="2"/>
  <c r="AC48" i="1" s="1"/>
  <c r="Z8" i="2"/>
  <c r="Z48" i="1" s="1"/>
  <c r="Y8" i="2"/>
  <c r="Y48" i="1" s="1"/>
  <c r="X8" i="2"/>
  <c r="X48" i="1" s="1"/>
  <c r="V8" i="2"/>
  <c r="V48" i="1" s="1"/>
  <c r="T8" i="2"/>
  <c r="T48" i="1" s="1"/>
  <c r="Q8" i="2"/>
  <c r="Q48" i="1" s="1"/>
  <c r="P8" i="2"/>
  <c r="P48" i="1" s="1"/>
  <c r="N8" i="2"/>
  <c r="N48" i="1" s="1"/>
  <c r="K8" i="2"/>
  <c r="K48" i="1" s="1"/>
  <c r="I8" i="2"/>
  <c r="I48" i="1" s="1"/>
  <c r="F8" i="2"/>
  <c r="F48" i="1" s="1"/>
  <c r="D8" i="2"/>
  <c r="D48" i="1" s="1"/>
  <c r="AE7" i="2"/>
  <c r="AE49" i="1" s="1"/>
  <c r="AC7" i="2"/>
  <c r="AC49" i="1" s="1"/>
  <c r="Z7" i="2"/>
  <c r="Z49" i="1" s="1"/>
  <c r="Y7" i="2"/>
  <c r="Y49" i="1" s="1"/>
  <c r="X7" i="2"/>
  <c r="X49" i="1" s="1"/>
  <c r="V7" i="2"/>
  <c r="V49" i="1" s="1"/>
  <c r="T7" i="2"/>
  <c r="T49" i="1" s="1"/>
  <c r="Q7" i="2"/>
  <c r="Q49" i="1" s="1"/>
  <c r="P7" i="2"/>
  <c r="P49" i="1" s="1"/>
  <c r="N7" i="2"/>
  <c r="N49" i="1" s="1"/>
  <c r="K7" i="2"/>
  <c r="K49" i="1" s="1"/>
  <c r="I7" i="2"/>
  <c r="I49" i="1" s="1"/>
  <c r="F7" i="2"/>
  <c r="F49" i="1" s="1"/>
  <c r="D7" i="2"/>
  <c r="D49" i="1" s="1"/>
  <c r="AE6" i="2"/>
  <c r="AE50" i="1" s="1"/>
  <c r="AC6" i="2"/>
  <c r="AC50" i="1" s="1"/>
  <c r="Z6" i="2"/>
  <c r="Z50" i="1" s="1"/>
  <c r="Y6" i="2"/>
  <c r="Y50" i="1" s="1"/>
  <c r="X6" i="2"/>
  <c r="X50" i="1" s="1"/>
  <c r="V6" i="2"/>
  <c r="V50" i="1" s="1"/>
  <c r="T6" i="2"/>
  <c r="T50" i="1" s="1"/>
  <c r="Q6" i="2"/>
  <c r="Q50" i="1" s="1"/>
  <c r="P6" i="2"/>
  <c r="P50" i="1" s="1"/>
  <c r="N6" i="2"/>
  <c r="N50" i="1" s="1"/>
  <c r="K6" i="2"/>
  <c r="K50" i="1" s="1"/>
  <c r="I6" i="2"/>
  <c r="I50" i="1" s="1"/>
  <c r="F6" i="2"/>
  <c r="F50" i="1" s="1"/>
  <c r="D6" i="2"/>
  <c r="D50" i="1" s="1"/>
  <c r="AE5" i="2"/>
  <c r="AE51" i="1" s="1"/>
  <c r="AC5" i="2"/>
  <c r="AC51" i="1" s="1"/>
  <c r="Z5" i="2"/>
  <c r="Z51" i="1" s="1"/>
  <c r="Y5" i="2"/>
  <c r="X5" i="2"/>
  <c r="V5" i="2"/>
  <c r="T5" i="2"/>
  <c r="Q5" i="2"/>
  <c r="Q51" i="1" s="1"/>
  <c r="P5" i="2"/>
  <c r="P51" i="1" s="1"/>
  <c r="K5" i="2"/>
  <c r="K51" i="1" s="1"/>
  <c r="I5" i="2"/>
  <c r="F5" i="2"/>
  <c r="D5" i="2"/>
  <c r="D51" i="1" s="1"/>
  <c r="Z4" i="2"/>
  <c r="Z52" i="1" s="1"/>
  <c r="Y4" i="2"/>
  <c r="Y52" i="1" s="1"/>
  <c r="X52" i="1"/>
  <c r="Q4" i="2"/>
  <c r="Q52" i="1" s="1"/>
  <c r="I4" i="2"/>
  <c r="I52" i="1" s="1"/>
  <c r="F4" i="2"/>
  <c r="F52" i="1" s="1"/>
  <c r="D4" i="2"/>
  <c r="X51" i="1" l="1"/>
  <c r="D10" i="6"/>
  <c r="F51" i="1"/>
  <c r="Y51" i="1"/>
  <c r="C10" i="6"/>
  <c r="I51" i="1"/>
  <c r="T51" i="1"/>
  <c r="V51" i="1"/>
  <c r="C11" i="2"/>
  <c r="W15" i="2"/>
  <c r="W41" i="1" s="1"/>
  <c r="C12" i="2"/>
  <c r="C16" i="2"/>
  <c r="C32" i="2"/>
  <c r="C24" i="1" s="1"/>
  <c r="C18" i="2"/>
  <c r="C30" i="2"/>
  <c r="C17" i="2"/>
  <c r="C21" i="2"/>
  <c r="W13" i="2"/>
  <c r="W43" i="1" s="1"/>
  <c r="W21" i="2"/>
  <c r="W35" i="1" s="1"/>
  <c r="C19" i="2"/>
  <c r="C23" i="2"/>
  <c r="W24" i="2"/>
  <c r="W32" i="1" s="1"/>
  <c r="C31" i="2"/>
  <c r="W32" i="2"/>
  <c r="W24" i="1" s="1"/>
  <c r="C35" i="2"/>
  <c r="W35" i="2"/>
  <c r="W21" i="1" s="1"/>
  <c r="C4" i="2"/>
  <c r="C13" i="2"/>
  <c r="C29" i="2"/>
  <c r="C33" i="2"/>
  <c r="C37" i="2"/>
  <c r="C7" i="2"/>
  <c r="W8" i="2"/>
  <c r="W48" i="1" s="1"/>
  <c r="C6" i="2"/>
  <c r="C10" i="2"/>
  <c r="W36" i="2"/>
  <c r="W20" i="1" s="1"/>
  <c r="W25" i="2"/>
  <c r="W31" i="1" s="1"/>
  <c r="C15" i="2"/>
  <c r="C27" i="2"/>
  <c r="C5" i="2"/>
  <c r="C36" i="2"/>
  <c r="W19" i="2"/>
  <c r="W37" i="1" s="1"/>
  <c r="W37" i="2"/>
  <c r="W19" i="1" s="1"/>
  <c r="C9" i="2"/>
  <c r="W14" i="2"/>
  <c r="W42" i="1" s="1"/>
  <c r="W31" i="2"/>
  <c r="W25" i="1" s="1"/>
  <c r="C8" i="2"/>
  <c r="W9" i="2"/>
  <c r="W47" i="1" s="1"/>
  <c r="C25" i="2"/>
  <c r="W26" i="2"/>
  <c r="W30" i="1" s="1"/>
  <c r="C24" i="2"/>
  <c r="C28" i="2"/>
  <c r="C34" i="2"/>
  <c r="W7" i="2"/>
  <c r="W49" i="1" s="1"/>
  <c r="W12" i="2"/>
  <c r="W44" i="1" s="1"/>
  <c r="W18" i="2"/>
  <c r="W38" i="1" s="1"/>
  <c r="C22" i="2"/>
  <c r="W29" i="2"/>
  <c r="W27" i="1" s="1"/>
  <c r="W23" i="2"/>
  <c r="W33" i="1" s="1"/>
  <c r="W28" i="2"/>
  <c r="W28" i="1" s="1"/>
  <c r="B32" i="2"/>
  <c r="B24" i="1" s="1"/>
  <c r="W34" i="2"/>
  <c r="W22" i="1" s="1"/>
  <c r="W11" i="2"/>
  <c r="W45" i="1" s="1"/>
  <c r="W17" i="2"/>
  <c r="W39" i="1" s="1"/>
  <c r="W22" i="2"/>
  <c r="W34" i="1" s="1"/>
  <c r="C26" i="2"/>
  <c r="W6" i="2"/>
  <c r="W50" i="1" s="1"/>
  <c r="W5" i="2"/>
  <c r="W10" i="2"/>
  <c r="W46" i="1" s="1"/>
  <c r="C14" i="2"/>
  <c r="W16" i="2"/>
  <c r="W40" i="1" s="1"/>
  <c r="C20" i="2"/>
  <c r="W27" i="2"/>
  <c r="W29" i="1" s="1"/>
  <c r="W33" i="2"/>
  <c r="W23" i="1" s="1"/>
  <c r="W20" i="2"/>
  <c r="W36" i="1" s="1"/>
  <c r="W30" i="2"/>
  <c r="W26" i="1" s="1"/>
  <c r="W4" i="2"/>
  <c r="W52" i="1" s="1"/>
  <c r="E10" i="6" l="1"/>
  <c r="B36" i="2"/>
  <c r="B20" i="1" s="1"/>
  <c r="C20" i="1"/>
  <c r="B35" i="2"/>
  <c r="B21" i="1" s="1"/>
  <c r="C21" i="1"/>
  <c r="B21" i="2"/>
  <c r="B35" i="1" s="1"/>
  <c r="C35" i="1"/>
  <c r="B11" i="2"/>
  <c r="B45" i="1" s="1"/>
  <c r="C45" i="1"/>
  <c r="B5" i="2"/>
  <c r="B51" i="1" s="1"/>
  <c r="C51" i="1"/>
  <c r="B7" i="2"/>
  <c r="B49" i="1" s="1"/>
  <c r="C49" i="1"/>
  <c r="B17" i="2"/>
  <c r="B39" i="1" s="1"/>
  <c r="C39" i="1"/>
  <c r="E8" i="6"/>
  <c r="B6" i="2"/>
  <c r="B50" i="1" s="1"/>
  <c r="C50" i="1"/>
  <c r="B8" i="2"/>
  <c r="B48" i="1" s="1"/>
  <c r="C48" i="1"/>
  <c r="B27" i="2"/>
  <c r="B29" i="1" s="1"/>
  <c r="C29" i="1"/>
  <c r="B37" i="2"/>
  <c r="B19" i="1" s="1"/>
  <c r="C19" i="1"/>
  <c r="B31" i="2"/>
  <c r="B25" i="1" s="1"/>
  <c r="C25" i="1"/>
  <c r="B30" i="2"/>
  <c r="B26" i="1" s="1"/>
  <c r="C26" i="1"/>
  <c r="B22" i="2"/>
  <c r="B34" i="1" s="1"/>
  <c r="C34" i="1"/>
  <c r="B15" i="2"/>
  <c r="B41" i="1" s="1"/>
  <c r="C41" i="1"/>
  <c r="B33" i="2"/>
  <c r="B23" i="1" s="1"/>
  <c r="C23" i="1"/>
  <c r="B18" i="2"/>
  <c r="B38" i="1" s="1"/>
  <c r="C38" i="1"/>
  <c r="B14" i="2"/>
  <c r="B42" i="1" s="1"/>
  <c r="C42" i="1"/>
  <c r="B34" i="2"/>
  <c r="B22" i="1" s="1"/>
  <c r="C22" i="1"/>
  <c r="B29" i="2"/>
  <c r="B27" i="1" s="1"/>
  <c r="C27" i="1"/>
  <c r="B23" i="2"/>
  <c r="B33" i="1" s="1"/>
  <c r="C33" i="1"/>
  <c r="B26" i="2"/>
  <c r="B30" i="1" s="1"/>
  <c r="C30" i="1"/>
  <c r="W51" i="1"/>
  <c r="B28" i="2"/>
  <c r="B28" i="1" s="1"/>
  <c r="C28" i="1"/>
  <c r="B9" i="2"/>
  <c r="B47" i="1" s="1"/>
  <c r="C47" i="1"/>
  <c r="B13" i="2"/>
  <c r="B43" i="1" s="1"/>
  <c r="C43" i="1"/>
  <c r="B19" i="2"/>
  <c r="B37" i="1" s="1"/>
  <c r="C37" i="1"/>
  <c r="B16" i="2"/>
  <c r="B40" i="1" s="1"/>
  <c r="C40" i="1"/>
  <c r="B25" i="2"/>
  <c r="B31" i="1" s="1"/>
  <c r="C31" i="1"/>
  <c r="B20" i="2"/>
  <c r="B36" i="1" s="1"/>
  <c r="C36" i="1"/>
  <c r="B24" i="2"/>
  <c r="B32" i="1" s="1"/>
  <c r="C32" i="1"/>
  <c r="B10" i="2"/>
  <c r="B46" i="1" s="1"/>
  <c r="C46" i="1"/>
  <c r="B4" i="2"/>
  <c r="B52" i="1" s="1"/>
  <c r="C52" i="1"/>
  <c r="B12" i="2"/>
  <c r="B44" i="1" s="1"/>
  <c r="C44" i="1"/>
  <c r="AG7" i="2"/>
  <c r="AG49" i="1" s="1"/>
  <c r="AG38" i="2"/>
  <c r="AG18" i="1" s="1"/>
  <c r="AM38" i="2"/>
  <c r="AM18" i="1" s="1"/>
  <c r="AM8" i="2"/>
  <c r="AM48" i="1" s="1"/>
  <c r="AG8" i="2"/>
  <c r="AG48" i="1" s="1"/>
  <c r="AM23" i="2"/>
  <c r="AM33" i="1" s="1"/>
  <c r="AG23" i="2"/>
  <c r="AG33" i="1" s="1"/>
  <c r="AG34" i="2"/>
  <c r="AG22" i="1" s="1"/>
  <c r="AM34" i="2"/>
  <c r="AM22" i="1" s="1"/>
  <c r="AM20" i="2"/>
  <c r="AM36" i="1" s="1"/>
  <c r="AG20" i="2"/>
  <c r="AG36" i="1" s="1"/>
  <c r="AM10" i="2"/>
  <c r="AM46" i="1" s="1"/>
  <c r="AM11" i="2"/>
  <c r="AM45" i="1" s="1"/>
  <c r="AG11" i="2"/>
  <c r="AG45" i="1" s="1"/>
  <c r="AG21" i="2"/>
  <c r="AG35" i="1" s="1"/>
  <c r="AM21" i="2"/>
  <c r="AM35" i="1" s="1"/>
  <c r="AM6" i="2"/>
  <c r="AM50" i="1" s="1"/>
  <c r="AM16" i="2"/>
  <c r="AM40" i="1" s="1"/>
  <c r="AG16" i="2"/>
  <c r="AG40" i="1" s="1"/>
  <c r="AG12" i="2"/>
  <c r="AG44" i="1" s="1"/>
  <c r="AM12" i="2"/>
  <c r="AM44" i="1" s="1"/>
  <c r="AG25" i="2"/>
  <c r="AG31" i="1" s="1"/>
  <c r="AM25" i="2"/>
  <c r="AM31" i="1" s="1"/>
  <c r="AG35" i="2"/>
  <c r="AG21" i="1" s="1"/>
  <c r="AM35" i="2"/>
  <c r="AM21" i="1" s="1"/>
  <c r="AM7" i="2"/>
  <c r="AM49" i="1" s="1"/>
  <c r="AG36" i="2"/>
  <c r="AG20" i="1" s="1"/>
  <c r="AM36" i="2"/>
  <c r="AM20" i="1" s="1"/>
  <c r="AG30" i="2"/>
  <c r="AG26" i="1" s="1"/>
  <c r="AM29" i="2"/>
  <c r="AM27" i="1" s="1"/>
  <c r="AG29" i="2"/>
  <c r="AG27" i="1" s="1"/>
  <c r="AG18" i="2"/>
  <c r="AG38" i="1" s="1"/>
  <c r="AG24" i="2"/>
  <c r="AG32" i="1" s="1"/>
  <c r="AM24" i="2"/>
  <c r="AM32" i="1" s="1"/>
  <c r="R21" i="2"/>
  <c r="R35" i="1" s="1"/>
  <c r="AM19" i="2"/>
  <c r="AM37" i="1" s="1"/>
  <c r="AG19" i="2"/>
  <c r="AG37" i="1" s="1"/>
  <c r="AG26" i="2"/>
  <c r="AG30" i="1" s="1"/>
  <c r="AM26" i="2"/>
  <c r="AM30" i="1" s="1"/>
  <c r="L17" i="2"/>
  <c r="L39" i="1" s="1"/>
  <c r="AG13" i="2"/>
  <c r="AG43" i="1" s="1"/>
  <c r="AM13" i="2"/>
  <c r="AM43" i="1" s="1"/>
  <c r="AG14" i="2"/>
  <c r="AG42" i="1" s="1"/>
  <c r="AM14" i="2"/>
  <c r="AM42" i="1" s="1"/>
  <c r="AA19" i="2"/>
  <c r="AA37" i="1" s="1"/>
  <c r="AM17" i="2"/>
  <c r="AM39" i="1" s="1"/>
  <c r="AG17" i="2"/>
  <c r="AG39" i="1" s="1"/>
  <c r="R33" i="2"/>
  <c r="R23" i="1" s="1"/>
  <c r="AG31" i="2"/>
  <c r="AG25" i="1" s="1"/>
  <c r="AM31" i="2"/>
  <c r="AM25" i="1" s="1"/>
  <c r="AM33" i="2"/>
  <c r="AM23" i="1" s="1"/>
  <c r="AG33" i="2"/>
  <c r="AG23" i="1" s="1"/>
  <c r="AG22" i="2"/>
  <c r="AG34" i="1" s="1"/>
  <c r="AM22" i="2"/>
  <c r="AM34" i="1" s="1"/>
  <c r="R25" i="2"/>
  <c r="R31" i="1" s="1"/>
  <c r="R35" i="2"/>
  <c r="R21" i="1" s="1"/>
  <c r="AA39" i="2"/>
  <c r="AA17" i="1" s="1"/>
  <c r="R39" i="2"/>
  <c r="R17" i="1" s="1"/>
  <c r="L39" i="2"/>
  <c r="L17" i="1" s="1"/>
  <c r="L12" i="2"/>
  <c r="L44" i="1" s="1"/>
  <c r="R38" i="2"/>
  <c r="R18" i="1" s="1"/>
  <c r="L38" i="2"/>
  <c r="L18" i="1" s="1"/>
  <c r="L22" i="2"/>
  <c r="L34" i="1" s="1"/>
  <c r="AA38" i="2"/>
  <c r="AA18" i="1" s="1"/>
  <c r="AA11" i="2"/>
  <c r="AA45" i="1" s="1"/>
  <c r="AA12" i="2"/>
  <c r="AA44" i="1" s="1"/>
  <c r="L25" i="2"/>
  <c r="L31" i="1" s="1"/>
  <c r="R31" i="2"/>
  <c r="R25" i="1" s="1"/>
  <c r="AA25" i="2"/>
  <c r="AA31" i="1" s="1"/>
  <c r="R13" i="2"/>
  <c r="R43" i="1" s="1"/>
  <c r="L18" i="2"/>
  <c r="L38" i="1" s="1"/>
  <c r="L23" i="2"/>
  <c r="L33" i="1" s="1"/>
  <c r="R36" i="2"/>
  <c r="R20" i="1" s="1"/>
  <c r="R22" i="2"/>
  <c r="R34" i="1" s="1"/>
  <c r="AA32" i="2"/>
  <c r="AA24" i="1" s="1"/>
  <c r="AA18" i="2"/>
  <c r="AA38" i="1" s="1"/>
  <c r="AA31" i="2"/>
  <c r="AA25" i="1" s="1"/>
  <c r="L31" i="2"/>
  <c r="L25" i="1" s="1"/>
  <c r="L16" i="2"/>
  <c r="L40" i="1" s="1"/>
  <c r="AA17" i="2"/>
  <c r="AA39" i="1" s="1"/>
  <c r="L19" i="2"/>
  <c r="L37" i="1" s="1"/>
  <c r="R11" i="2"/>
  <c r="R45" i="1" s="1"/>
  <c r="L13" i="2"/>
  <c r="L43" i="1" s="1"/>
  <c r="AA37" i="2"/>
  <c r="AA19" i="1" s="1"/>
  <c r="AA13" i="2"/>
  <c r="AA43" i="1" s="1"/>
  <c r="AA33" i="2"/>
  <c r="AA23" i="1" s="1"/>
  <c r="L33" i="2"/>
  <c r="L23" i="1" s="1"/>
  <c r="AA22" i="2"/>
  <c r="AA34" i="1" s="1"/>
  <c r="AA16" i="2"/>
  <c r="AA40" i="1" s="1"/>
  <c r="L11" i="2"/>
  <c r="L45" i="1" s="1"/>
  <c r="L37" i="2"/>
  <c r="L19" i="1" s="1"/>
  <c r="R17" i="2"/>
  <c r="R39" i="1" s="1"/>
  <c r="L36" i="2"/>
  <c r="L20" i="1" s="1"/>
  <c r="AA36" i="2"/>
  <c r="AA20" i="1" s="1"/>
  <c r="R14" i="2"/>
  <c r="R42" i="1" s="1"/>
  <c r="L8" i="2"/>
  <c r="L48" i="1" s="1"/>
  <c r="AA29" i="2"/>
  <c r="AA27" i="1" s="1"/>
  <c r="L29" i="2"/>
  <c r="L27" i="1" s="1"/>
  <c r="L7" i="2"/>
  <c r="L49" i="1" s="1"/>
  <c r="L26" i="2"/>
  <c r="L30" i="1" s="1"/>
  <c r="AA26" i="2"/>
  <c r="AA30" i="1" s="1"/>
  <c r="R20" i="2"/>
  <c r="R36" i="1" s="1"/>
  <c r="L34" i="2"/>
  <c r="L22" i="1" s="1"/>
  <c r="R34" i="2"/>
  <c r="R22" i="1" s="1"/>
  <c r="AA34" i="2"/>
  <c r="AA22" i="1" s="1"/>
  <c r="R24" i="2"/>
  <c r="R32" i="1" s="1"/>
  <c r="R29" i="2"/>
  <c r="R27" i="1" s="1"/>
  <c r="R8" i="2"/>
  <c r="R48" i="1" s="1"/>
  <c r="R18" i="2"/>
  <c r="R38" i="1" s="1"/>
  <c r="L10" i="2"/>
  <c r="L46" i="1" s="1"/>
  <c r="R19" i="2"/>
  <c r="R37" i="1" s="1"/>
  <c r="R10" i="2"/>
  <c r="R46" i="1" s="1"/>
  <c r="R16" i="2"/>
  <c r="R40" i="1" s="1"/>
  <c r="R32" i="2"/>
  <c r="R24" i="1" s="1"/>
  <c r="R26" i="2"/>
  <c r="R30" i="1" s="1"/>
  <c r="R37" i="2"/>
  <c r="R19" i="1" s="1"/>
  <c r="R12" i="2"/>
  <c r="R44" i="1" s="1"/>
  <c r="R7" i="2"/>
  <c r="R49" i="1" s="1"/>
  <c r="AA7" i="2"/>
  <c r="AA49" i="1" s="1"/>
  <c r="AA20" i="2"/>
  <c r="AA36" i="1" s="1"/>
  <c r="AA8" i="2"/>
  <c r="AA48" i="1" s="1"/>
  <c r="AA35" i="2"/>
  <c r="AA21" i="1" s="1"/>
  <c r="L20" i="2"/>
  <c r="L36" i="1" s="1"/>
  <c r="L24" i="2"/>
  <c r="L32" i="1" s="1"/>
  <c r="L35" i="2"/>
  <c r="L21" i="1" s="1"/>
  <c r="AA14" i="2"/>
  <c r="AA42" i="1" s="1"/>
  <c r="AA10" i="2"/>
  <c r="AA46" i="1" s="1"/>
  <c r="AA24" i="2"/>
  <c r="AA32" i="1" s="1"/>
  <c r="AA6" i="2"/>
  <c r="AA50" i="1" s="1"/>
  <c r="AA23" i="2"/>
  <c r="AA33" i="1" s="1"/>
  <c r="L6" i="2"/>
  <c r="L50" i="1" s="1"/>
  <c r="R23" i="2"/>
  <c r="R33" i="1" s="1"/>
  <c r="L14" i="2"/>
  <c r="L42" i="1" s="1"/>
  <c r="L27" i="2"/>
  <c r="L29" i="1" s="1"/>
  <c r="AA21" i="2"/>
  <c r="AA35" i="1" s="1"/>
  <c r="L21" i="2"/>
  <c r="L35" i="1" s="1"/>
  <c r="AG37" i="2" l="1"/>
  <c r="AG19" i="1" s="1"/>
  <c r="AM37" i="2"/>
  <c r="AM19" i="1" s="1"/>
  <c r="AG10" i="2"/>
  <c r="AG46" i="1" s="1"/>
  <c r="R6" i="2"/>
  <c r="R50" i="1" s="1"/>
  <c r="AM18" i="2"/>
  <c r="AM38" i="1" s="1"/>
  <c r="AG6" i="2"/>
  <c r="AG50" i="1" s="1"/>
  <c r="AM9" i="2"/>
  <c r="AM47" i="1" s="1"/>
  <c r="AA27" i="2"/>
  <c r="AA29" i="1" s="1"/>
  <c r="AG28" i="2"/>
  <c r="AG28" i="1" s="1"/>
  <c r="AG9" i="2"/>
  <c r="AG47" i="1" s="1"/>
  <c r="AM28" i="2"/>
  <c r="AM28" i="1" s="1"/>
  <c r="R28" i="2"/>
  <c r="R28" i="1" s="1"/>
  <c r="AA30" i="2"/>
  <c r="AA26" i="1" s="1"/>
  <c r="L32" i="2"/>
  <c r="L24" i="1" s="1"/>
  <c r="AM32" i="2"/>
  <c r="AM24" i="1" s="1"/>
  <c r="L9" i="2"/>
  <c r="L47" i="1" s="1"/>
  <c r="AM15" i="2"/>
  <c r="AM41" i="1" s="1"/>
  <c r="R30" i="2"/>
  <c r="R26" i="1" s="1"/>
  <c r="AA9" i="2"/>
  <c r="AA47" i="1" s="1"/>
  <c r="AA15" i="2"/>
  <c r="AA41" i="1" s="1"/>
  <c r="AA5" i="2"/>
  <c r="AA51" i="1" s="1"/>
  <c r="R9" i="2"/>
  <c r="R47" i="1" s="1"/>
  <c r="L30" i="2"/>
  <c r="L26" i="1" s="1"/>
  <c r="L15" i="2"/>
  <c r="L41" i="1" s="1"/>
  <c r="AG32" i="2"/>
  <c r="AG24" i="1" s="1"/>
  <c r="AA28" i="2"/>
  <c r="AA28" i="1" s="1"/>
  <c r="AM27" i="2"/>
  <c r="AM29" i="1" s="1"/>
  <c r="AG15" i="2"/>
  <c r="AG41" i="1" s="1"/>
  <c r="R5" i="2"/>
  <c r="R27" i="2"/>
  <c r="R29" i="1" s="1"/>
  <c r="L28" i="2"/>
  <c r="L28" i="1" s="1"/>
  <c r="AG27" i="2"/>
  <c r="AG29" i="1" s="1"/>
  <c r="AG5" i="2"/>
  <c r="AG51" i="1" s="1"/>
  <c r="R15" i="2"/>
  <c r="R41" i="1" s="1"/>
  <c r="AM30" i="2"/>
  <c r="AM26" i="1" s="1"/>
  <c r="L51" i="1"/>
  <c r="AM5" i="2"/>
  <c r="AM51" i="1" s="1"/>
  <c r="R51" i="1" l="1"/>
</calcChain>
</file>

<file path=xl/sharedStrings.xml><?xml version="1.0" encoding="utf-8"?>
<sst xmlns="http://schemas.openxmlformats.org/spreadsheetml/2006/main" count="489" uniqueCount="185">
  <si>
    <t>TOTAL</t>
  </si>
  <si>
    <t>Total</t>
  </si>
  <si>
    <t>Civillian Agency</t>
  </si>
  <si>
    <t>Net Change</t>
  </si>
  <si>
    <t>Civilian Agency Total</t>
  </si>
  <si>
    <t>Loss Due to Retirement</t>
  </si>
  <si>
    <t>Count</t>
  </si>
  <si>
    <t>Rate</t>
  </si>
  <si>
    <t>Hires / Accessions</t>
  </si>
  <si>
    <t>Loss / Attritions</t>
  </si>
  <si>
    <t>All Total</t>
  </si>
  <si>
    <t>1101 Total</t>
  </si>
  <si>
    <t>1102 Total</t>
  </si>
  <si>
    <t>Hire Total</t>
  </si>
  <si>
    <t>Hire Rate</t>
  </si>
  <si>
    <t>1101 Hire Total</t>
  </si>
  <si>
    <t>1101 Hire Rate</t>
  </si>
  <si>
    <t>1102 Hire Total</t>
  </si>
  <si>
    <t>1102 Hire Rate</t>
  </si>
  <si>
    <t>Loss Total</t>
  </si>
  <si>
    <t>Loss Rate</t>
  </si>
  <si>
    <t>1101 Loss Total</t>
  </si>
  <si>
    <t>1101 Loss Rate</t>
  </si>
  <si>
    <t>1102 Loss Total</t>
  </si>
  <si>
    <t>1102 Loss Rate</t>
  </si>
  <si>
    <t>Net Change Total</t>
  </si>
  <si>
    <t>1101 Net Change</t>
  </si>
  <si>
    <t>1102 Net Change</t>
  </si>
  <si>
    <t>Retire Total</t>
  </si>
  <si>
    <t>Retire Rate</t>
  </si>
  <si>
    <t>1101 Retire Total</t>
  </si>
  <si>
    <t>1101 Retire Rate</t>
  </si>
  <si>
    <t>1102 Retire Total</t>
  </si>
  <si>
    <t>1102 Retire Rate</t>
  </si>
  <si>
    <t>Quarter</t>
  </si>
  <si>
    <t>FY12 Q1</t>
  </si>
  <si>
    <t>FY12 Q2</t>
  </si>
  <si>
    <t>FY12 Q3</t>
  </si>
  <si>
    <t>FY12 Q4</t>
  </si>
  <si>
    <t>FY13 Q1</t>
  </si>
  <si>
    <t>FY13 Q2</t>
  </si>
  <si>
    <t>FY13 Q3</t>
  </si>
  <si>
    <t>FY13 Q4</t>
  </si>
  <si>
    <t>FY14 Q1</t>
  </si>
  <si>
    <t>FY14 Q2</t>
  </si>
  <si>
    <t>FY14 Q3</t>
  </si>
  <si>
    <t>FY14 Q4</t>
  </si>
  <si>
    <t>FY15 Q1</t>
  </si>
  <si>
    <t>FY15 Q2</t>
  </si>
  <si>
    <t>FY15 Q3</t>
  </si>
  <si>
    <t>FY15 Q4</t>
  </si>
  <si>
    <t>FY16 Q1</t>
  </si>
  <si>
    <t>FY16 Q2</t>
  </si>
  <si>
    <t>FY16 Q3</t>
  </si>
  <si>
    <t>FY16 Q4</t>
  </si>
  <si>
    <t>FY17 Q1</t>
  </si>
  <si>
    <t>FY17 Q2</t>
  </si>
  <si>
    <t>FY17 Q3</t>
  </si>
  <si>
    <t>FY17 Q4</t>
  </si>
  <si>
    <t>FY18 Q1</t>
  </si>
  <si>
    <t>FY18 Q2</t>
  </si>
  <si>
    <t>FY18 Q3</t>
  </si>
  <si>
    <t>FY18 Q4</t>
  </si>
  <si>
    <t>FY19 Q1</t>
  </si>
  <si>
    <t>FY19 Q2</t>
  </si>
  <si>
    <t>FY19 Q3</t>
  </si>
  <si>
    <t>FY19 Q4</t>
  </si>
  <si>
    <t>FY20 Q1</t>
  </si>
  <si>
    <t>FY20 Q2</t>
  </si>
  <si>
    <t>FAI Quarterly Workforce Metrics</t>
  </si>
  <si>
    <t>General Business and Industry
(GS-1101)</t>
  </si>
  <si>
    <t>Civilian Agencies</t>
  </si>
  <si>
    <t>Total Hires</t>
  </si>
  <si>
    <t>Losses</t>
  </si>
  <si>
    <t>Percent of Losses</t>
  </si>
  <si>
    <t>Employee Losses Due to Retirement</t>
  </si>
  <si>
    <t>Dept. of Defense Total</t>
  </si>
  <si>
    <t>1101 Civilian Agency Total</t>
  </si>
  <si>
    <t>1101 Dept. of Defense Total</t>
  </si>
  <si>
    <t>1102 Civilian Agency Total</t>
  </si>
  <si>
    <t>1102 Dept. of Defense Total</t>
  </si>
  <si>
    <t>Total Attrition</t>
  </si>
  <si>
    <t>Attrition by Retirement</t>
  </si>
  <si>
    <t>Accessions</t>
  </si>
  <si>
    <t>Historical Data</t>
  </si>
  <si>
    <t>Dept. of Defense</t>
  </si>
  <si>
    <t>Return to the Main Page</t>
  </si>
  <si>
    <t>1101 Personnel Actions</t>
  </si>
  <si>
    <t>1102 Personnel Actions</t>
  </si>
  <si>
    <t>Link</t>
  </si>
  <si>
    <t>FY20 Q3</t>
  </si>
  <si>
    <t>Federal Acquisition Institute</t>
  </si>
  <si>
    <t>Quarterly Workforce Metrics</t>
  </si>
  <si>
    <t>GS-1101 Employment Trends</t>
  </si>
  <si>
    <t>GS-1102 Employment Trends</t>
  </si>
  <si>
    <t>GS-1101 Personal Actions</t>
  </si>
  <si>
    <t>GS-1102 Personal Actions</t>
  </si>
  <si>
    <t>GS-1101 Trends</t>
  </si>
  <si>
    <t>GS-1102 Trends</t>
  </si>
  <si>
    <t>Chart Data</t>
  </si>
  <si>
    <t>GS-1101 Total</t>
  </si>
  <si>
    <t>GS-1101 
Civilian Agencies</t>
  </si>
  <si>
    <t>GS-1101 
Dept. of Defense</t>
  </si>
  <si>
    <t>GS-1102 Total</t>
  </si>
  <si>
    <t>GS-1102 
Civilian Agencies</t>
  </si>
  <si>
    <t>GS-1102 
Dept. of Defense</t>
  </si>
  <si>
    <t>GS-1101 
Loss</t>
  </si>
  <si>
    <t>GS-1102 
Net Change</t>
  </si>
  <si>
    <t>GS-1101 
Net Change</t>
  </si>
  <si>
    <t>GS-1101 
Hire</t>
  </si>
  <si>
    <t>GS-1102 
Hire</t>
  </si>
  <si>
    <t>GS-1102 
Loss</t>
  </si>
  <si>
    <t>GS-1102 
Loss Percentage</t>
  </si>
  <si>
    <t>GS-1101 
Loss Percentage</t>
  </si>
  <si>
    <t>GS-1101 
Loss Count</t>
  </si>
  <si>
    <t>GS-1102 
Loss Count</t>
  </si>
  <si>
    <t>Total 
Loss Count</t>
  </si>
  <si>
    <t>Total 
Loss Percentage</t>
  </si>
  <si>
    <t>Total 
Retirement Count</t>
  </si>
  <si>
    <t>GS-1101 Retirement Count</t>
  </si>
  <si>
    <t>GS-1101 Retirement %</t>
  </si>
  <si>
    <t>GS-1102 Retirement Count</t>
  </si>
  <si>
    <t>GS-1102 Retirement %</t>
  </si>
  <si>
    <t>Total 
Retirement %</t>
  </si>
  <si>
    <t>GS-1101 and GS-1102 Retirements</t>
  </si>
  <si>
    <t xml:space="preserve">GS-1101 and GS-1102 Attritions  </t>
  </si>
  <si>
    <t xml:space="preserve">GS-1101 and GS-1102 Accessions   </t>
  </si>
  <si>
    <t>Total 
Hire Count</t>
  </si>
  <si>
    <t>Total 
Hire Percentage</t>
  </si>
  <si>
    <t>GS-1101 
Hire Count</t>
  </si>
  <si>
    <t>GS-1101 
Hire Percentage</t>
  </si>
  <si>
    <t>GS-1102 
Hire Count</t>
  </si>
  <si>
    <t>GS-1102 
Hire Percentage</t>
  </si>
  <si>
    <t>Page Navigation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</si>
  <si>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</si>
  <si>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</si>
  <si>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</si>
  <si>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</si>
  <si>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</si>
  <si>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</si>
  <si>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</si>
  <si>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</si>
  <si>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Transfer In Total</t>
  </si>
  <si>
    <t>Transfer In Rate</t>
  </si>
  <si>
    <t>1101 Transfer In Total</t>
  </si>
  <si>
    <t>1101 Transfer In Rate</t>
  </si>
  <si>
    <t>1102 Transfer In Total</t>
  </si>
  <si>
    <t>1102 Transfer In Rate</t>
  </si>
  <si>
    <t>Transfer Out Total</t>
  </si>
  <si>
    <t>Transfer Out Rate</t>
  </si>
  <si>
    <t>1101 Transfer Out Total</t>
  </si>
  <si>
    <t>1101 Transfer Out Rate</t>
  </si>
  <si>
    <t>1102 Transfer Out Total</t>
  </si>
  <si>
    <t>1102 Transfer Out Rate</t>
  </si>
  <si>
    <t>Transfers Out</t>
  </si>
  <si>
    <t>Transfers In</t>
  </si>
  <si>
    <t>Transfer In 
Total</t>
  </si>
  <si>
    <t>Transfer In 
Rate</t>
  </si>
  <si>
    <t>Transfers</t>
  </si>
  <si>
    <t>Data Definitions</t>
  </si>
  <si>
    <t>FedScope Data Definitions
[External Link]</t>
  </si>
  <si>
    <t>FedScope Data Defintions
[External Link]</t>
  </si>
  <si>
    <t>FY22 Q4</t>
  </si>
  <si>
    <t>FY23 Q1</t>
  </si>
  <si>
    <t xml:space="preserve"> GS-1101 Employment Trends by Total Population, DOD, and Civilian Agencies</t>
  </si>
  <si>
    <t xml:space="preserve"> GS-1102 Employment Trends by Total Population, DOD, and Civilian Agencies</t>
  </si>
  <si>
    <t xml:space="preserve"> Personnel Actions (Accessions and Attritions) for GS-1101 </t>
  </si>
  <si>
    <t xml:space="preserve"> Personnel Actions (Accessions and Attritions) for GS-1102</t>
  </si>
  <si>
    <t xml:space="preserve"> Attrition Totals for GS-1101 &amp; GS-1102</t>
  </si>
  <si>
    <t xml:space="preserve"> Attrition by Retirement Totals for GS-1101 &amp; GS-1102</t>
  </si>
  <si>
    <t xml:space="preserve"> Accession Totals for GS-1101 &amp; GS-1102</t>
  </si>
  <si>
    <t xml:space="preserve"> Transfers In &amp; Out for GS-1101 &amp; GS-1102</t>
  </si>
  <si>
    <t xml:space="preserve"> Historical data used for all the charts with information going back quarterly to Q1 FY12</t>
  </si>
  <si>
    <r>
      <rPr>
        <b/>
        <sz val="11"/>
        <color theme="1"/>
        <rFont val="Calibri"/>
        <family val="2"/>
        <scheme val="minor"/>
      </rPr>
      <t xml:space="preserve"> External Link</t>
    </r>
    <r>
      <rPr>
        <sz val="11"/>
        <color theme="1"/>
        <rFont val="Calibri"/>
        <family val="2"/>
        <scheme val="minor"/>
      </rPr>
      <t xml:space="preserve"> to OPM's FedScope Data Definitions for reference</t>
    </r>
  </si>
  <si>
    <t xml:space="preserve"> Description of the breakdown</t>
  </si>
  <si>
    <t>Data 
Breakdowns</t>
  </si>
  <si>
    <t xml:space="preserve"> Use the links below to view the different breakdowns the data</t>
  </si>
  <si>
    <t>FY23 Q2</t>
  </si>
  <si>
    <t>FY23 Q3</t>
  </si>
  <si>
    <t>FY23 Q4</t>
  </si>
  <si>
    <t>Contract 
Specialist
(GS-1102)</t>
  </si>
  <si>
    <t>Updated for Q1 FY24</t>
  </si>
  <si>
    <t>Snapshot of Q1 FY24</t>
  </si>
  <si>
    <t>FY24 Q1</t>
  </si>
  <si>
    <t>Population at End of Q1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</si>
</sst>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0000"/>
      <name val="Times New Roman"/>
      <family val="1"/>
    </font>
    <font>
      <b/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Arial"/>
      <family val="2"/>
    </font>
    <font>
      <b/>
      <u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12" xfId="0" applyNumberFormat="1" applyFont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0" fontId="4" fillId="0" borderId="12" xfId="1" applyNumberFormat="1" applyFont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0" fontId="6" fillId="0" borderId="15" xfId="2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10" fontId="4" fillId="0" borderId="11" xfId="1" applyNumberFormat="1" applyFont="1" applyBorder="1" applyAlignment="1">
      <alignment horizontal="center" vertical="center" wrapText="1"/>
    </xf>
    <xf numFmtId="10" fontId="4" fillId="0" borderId="14" xfId="1" applyNumberFormat="1" applyFont="1" applyBorder="1" applyAlignment="1">
      <alignment horizontal="center" vertical="center" wrapText="1"/>
    </xf>
    <xf numFmtId="0" fontId="0" fillId="3" borderId="0" xfId="0" applyFill="1"/>
    <xf numFmtId="0" fontId="12" fillId="3" borderId="0" xfId="0" applyFont="1" applyFill="1"/>
    <xf numFmtId="0" fontId="7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2" applyFont="1" applyFill="1" applyBorder="1" applyAlignment="1">
      <alignment vertical="center" wrapText="1"/>
    </xf>
    <xf numFmtId="0" fontId="6" fillId="3" borderId="0" xfId="2" applyFill="1" applyBorder="1" applyAlignment="1">
      <alignment horizontal="center" vertical="center"/>
    </xf>
    <xf numFmtId="0" fontId="0" fillId="4" borderId="21" xfId="0" applyFill="1" applyBorder="1"/>
    <xf numFmtId="0" fontId="10" fillId="4" borderId="2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0" xfId="0" applyFill="1" applyBorder="1"/>
    <xf numFmtId="0" fontId="8" fillId="5" borderId="9" xfId="0" applyFont="1" applyFill="1" applyBorder="1" applyAlignment="1">
      <alignment horizontal="center" vertical="center" wrapText="1"/>
    </xf>
    <xf numFmtId="3" fontId="0" fillId="5" borderId="12" xfId="0" applyNumberFormat="1" applyFill="1" applyBorder="1" applyAlignment="1">
      <alignment horizontal="center" vertical="center" wrapText="1"/>
    </xf>
    <xf numFmtId="3" fontId="9" fillId="5" borderId="12" xfId="0" applyNumberFormat="1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 wrapText="1"/>
    </xf>
    <xf numFmtId="0" fontId="18" fillId="4" borderId="12" xfId="0" applyFont="1" applyFill="1" applyBorder="1" applyAlignment="1">
      <alignment horizont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2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0" fontId="20" fillId="4" borderId="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13" fillId="4" borderId="0" xfId="0" applyFont="1" applyFill="1"/>
    <xf numFmtId="0" fontId="13" fillId="4" borderId="20" xfId="0" applyFont="1" applyFill="1" applyBorder="1"/>
    <xf numFmtId="3" fontId="9" fillId="2" borderId="12" xfId="0" applyNumberFormat="1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3" fontId="24" fillId="2" borderId="12" xfId="0" applyNumberFormat="1" applyFont="1" applyFill="1" applyBorder="1" applyAlignment="1">
      <alignment horizontal="center" vertical="center" wrapText="1"/>
    </xf>
    <xf numFmtId="10" fontId="23" fillId="5" borderId="12" xfId="1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0" fillId="3" borderId="0" xfId="2" applyFont="1" applyFill="1" applyBorder="1" applyAlignment="1">
      <alignment vertical="center" wrapText="1"/>
    </xf>
    <xf numFmtId="0" fontId="25" fillId="3" borderId="0" xfId="2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3" fontId="4" fillId="5" borderId="41" xfId="0" applyNumberFormat="1" applyFont="1" applyFill="1" applyBorder="1" applyAlignment="1">
      <alignment horizontal="center" vertical="center" wrapText="1"/>
    </xf>
    <xf numFmtId="3" fontId="4" fillId="5" borderId="42" xfId="0" applyNumberFormat="1" applyFont="1" applyFill="1" applyBorder="1" applyAlignment="1">
      <alignment horizontal="center" vertical="center" wrapText="1"/>
    </xf>
    <xf numFmtId="3" fontId="4" fillId="5" borderId="43" xfId="0" applyNumberFormat="1" applyFont="1" applyFill="1" applyBorder="1" applyAlignment="1">
      <alignment horizontal="center" vertical="center" wrapText="1"/>
    </xf>
    <xf numFmtId="0" fontId="0" fillId="0" borderId="39" xfId="0" applyBorder="1"/>
    <xf numFmtId="3" fontId="4" fillId="0" borderId="14" xfId="0" applyNumberFormat="1" applyFont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vertical="center" textRotation="90" wrapText="1"/>
    </xf>
    <xf numFmtId="0" fontId="20" fillId="4" borderId="8" xfId="0" applyFont="1" applyFill="1" applyBorder="1" applyAlignment="1">
      <alignment horizontal="center" vertical="center" textRotation="90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26" fillId="4" borderId="0" xfId="0" applyFont="1" applyFill="1"/>
    <xf numFmtId="0" fontId="17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10" fontId="23" fillId="5" borderId="18" xfId="1" applyNumberFormat="1" applyFont="1" applyFill="1" applyBorder="1" applyAlignment="1">
      <alignment horizontal="center" vertical="center"/>
    </xf>
    <xf numFmtId="0" fontId="6" fillId="0" borderId="5" xfId="2" applyFill="1" applyBorder="1" applyAlignment="1">
      <alignment horizontal="center" vertical="center"/>
    </xf>
    <xf numFmtId="0" fontId="28" fillId="4" borderId="0" xfId="2" applyFont="1" applyFill="1" applyAlignment="1">
      <alignment wrapText="1"/>
    </xf>
    <xf numFmtId="0" fontId="28" fillId="4" borderId="0" xfId="2" applyFont="1" applyFill="1" applyAlignment="1"/>
    <xf numFmtId="0" fontId="28" fillId="4" borderId="20" xfId="2" applyFont="1" applyFill="1" applyBorder="1" applyAlignment="1"/>
    <xf numFmtId="0" fontId="20" fillId="4" borderId="10" xfId="0" applyFont="1" applyFill="1" applyBorder="1" applyAlignment="1">
      <alignment horizontal="center" vertical="center" textRotation="90" wrapText="1"/>
    </xf>
    <xf numFmtId="0" fontId="20" fillId="4" borderId="45" xfId="0" applyFont="1" applyFill="1" applyBorder="1" applyAlignment="1">
      <alignment horizontal="center" vertical="center" textRotation="90" wrapText="1"/>
    </xf>
    <xf numFmtId="0" fontId="20" fillId="4" borderId="44" xfId="0" applyFont="1" applyFill="1" applyBorder="1" applyAlignment="1">
      <alignment horizontal="center" vertical="center" textRotation="90" wrapText="1"/>
    </xf>
    <xf numFmtId="0" fontId="0" fillId="4" borderId="0" xfId="0" applyFill="1" applyAlignment="1">
      <alignment horizontal="center" vertical="center"/>
    </xf>
    <xf numFmtId="0" fontId="6" fillId="3" borderId="0" xfId="2" applyFill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3" fillId="4" borderId="0" xfId="0" applyFont="1" applyFill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27" fillId="4" borderId="0" xfId="2" applyFont="1" applyFill="1" applyBorder="1" applyAlignment="1">
      <alignment horizontal="center" vertical="center" wrapText="1"/>
    </xf>
    <xf numFmtId="0" fontId="27" fillId="4" borderId="20" xfId="2" applyFont="1" applyFill="1" applyBorder="1" applyAlignment="1">
      <alignment horizontal="center" vertical="center" wrapText="1"/>
    </xf>
    <xf numFmtId="0" fontId="28" fillId="4" borderId="0" xfId="2" applyFont="1" applyFill="1" applyAlignment="1">
      <alignment horizontal="center" wrapText="1"/>
    </xf>
    <xf numFmtId="0" fontId="28" fillId="4" borderId="0" xfId="2" applyFont="1" applyFill="1" applyAlignment="1">
      <alignment horizontal="center"/>
    </xf>
    <xf numFmtId="0" fontId="28" fillId="4" borderId="20" xfId="2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2" applyFont="1" applyFill="1" applyBorder="1" applyAlignment="1">
      <alignment horizontal="center" vertical="center" wrapText="1"/>
    </xf>
    <xf numFmtId="0" fontId="19" fillId="4" borderId="20" xfId="2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/>
    </xf>
    <xf numFmtId="0" fontId="22" fillId="3" borderId="32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wrapText="1"/>
    </xf>
    <xf numFmtId="0" fontId="16" fillId="4" borderId="29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top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58"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ill>
        <patternFill>
          <bgColor rgb="FFF2F8EE"/>
        </patternFill>
      </fill>
    </dxf>
    <dxf>
      <fill>
        <patternFill>
          <bgColor rgb="FFFFF3F4"/>
        </patternFill>
      </fill>
    </dxf>
    <dxf>
      <fill>
        <patternFill>
          <bgColor theme="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CFE2F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rgb="FF003B5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rgb="FF003B5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le Style 1" pivot="0" count="0" xr9:uid="{1213F2F1-9AEC-48C7-BEB3-39E543A616F4}"/>
  </tableStyles>
  <colors>
    <mruColors>
      <color rgb="FF005087"/>
      <color rgb="FFCFE2F3"/>
      <color rgb="FF003B5C"/>
      <color rgb="FF0FAFFF"/>
      <color rgb="FFD5EEFF"/>
      <color rgb="FFF3C108"/>
      <color rgb="FFD9D9D9"/>
      <color rgb="FFFFF3F4"/>
      <color rgb="FFFFE7EA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Has Been the Total Population of GS-1101s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'GS-1101 Trend'!$B$26:$C$26</c:f>
              <c:strCache>
                <c:ptCount val="2"/>
                <c:pt idx="0">
                  <c:v>GS-1101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'GS-1101 Trend'!$D$26:$O$26</c:f>
              <c:numCache>
                <c:formatCode>#,##0</c:formatCode>
                <c:ptCount val="12"/>
                <c:pt idx="0">
                  <c:v>30149</c:v>
                </c:pt>
                <c:pt idx="1">
                  <c:v>29980</c:v>
                </c:pt>
                <c:pt idx="2">
                  <c:v>30081</c:v>
                </c:pt>
                <c:pt idx="3">
                  <c:v>30168</c:v>
                </c:pt>
                <c:pt idx="4">
                  <c:v>29776</c:v>
                </c:pt>
                <c:pt idx="5">
                  <c:v>29813</c:v>
                </c:pt>
                <c:pt idx="6">
                  <c:v>29968</c:v>
                </c:pt>
                <c:pt idx="7">
                  <c:v>30303</c:v>
                </c:pt>
                <c:pt idx="8">
                  <c:v>30578</c:v>
                </c:pt>
                <c:pt idx="9">
                  <c:v>30743</c:v>
                </c:pt>
                <c:pt idx="10">
                  <c:v>31112</c:v>
                </c:pt>
                <c:pt idx="11">
                  <c:v>31376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5-48A4-9223-C1121F74D267}"/>
            </c:ext>
          </c:extLst>
        </c:ser>
        <c:ser>
          <c:idx val="1"/>
          <c:order val="1"/>
          <c:tx>
            <c:strRef>
              <c:f>'GS-1101 Trend'!$B$27:$C$27</c:f>
              <c:strCache>
                <c:ptCount val="2"/>
                <c:pt idx="0">
                  <c:v>GS-1101 
Civilian Agencies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'GS-1101 Trend'!$D$27:$O$27</c:f>
              <c:numCache>
                <c:formatCode>#,##0</c:formatCode>
                <c:ptCount val="12"/>
                <c:pt idx="0">
                  <c:v>15778</c:v>
                </c:pt>
                <c:pt idx="1">
                  <c:v>15749</c:v>
                </c:pt>
                <c:pt idx="2">
                  <c:v>15849</c:v>
                </c:pt>
                <c:pt idx="3">
                  <c:v>15948</c:v>
                </c:pt>
                <c:pt idx="4">
                  <c:v>15622</c:v>
                </c:pt>
                <c:pt idx="5">
                  <c:v>15590</c:v>
                </c:pt>
                <c:pt idx="6">
                  <c:v>15662</c:v>
                </c:pt>
                <c:pt idx="7">
                  <c:v>15886</c:v>
                </c:pt>
                <c:pt idx="8">
                  <c:v>15971</c:v>
                </c:pt>
                <c:pt idx="9">
                  <c:v>16053</c:v>
                </c:pt>
                <c:pt idx="10">
                  <c:v>16190</c:v>
                </c:pt>
                <c:pt idx="11">
                  <c:v>16306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1-4540-B48F-D755EF8DA0B4}"/>
            </c:ext>
          </c:extLst>
        </c:ser>
        <c:ser>
          <c:idx val="2"/>
          <c:order val="2"/>
          <c:tx>
            <c:strRef>
              <c:f>'GS-1101 Trend'!$B$28:$C$28</c:f>
              <c:strCache>
                <c:ptCount val="2"/>
                <c:pt idx="0">
                  <c:v>GS-1101 
Dept. of Defense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716952181298124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07-4F79-A406-6E7617AAC32B}"/>
                </c:ext>
              </c:extLst>
            </c:dLbl>
            <c:dLbl>
              <c:idx val="1"/>
              <c:layout>
                <c:manualLayout>
                  <c:x val="-3.3716952181298138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7-4F79-A406-6E7617AAC32B}"/>
                </c:ext>
              </c:extLst>
            </c:dLbl>
            <c:dLbl>
              <c:idx val="2"/>
              <c:layout>
                <c:manualLayout>
                  <c:x val="-3.371695218129811E-2"/>
                  <c:y val="2.995591660197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7-4F79-A406-6E7617AAC32B}"/>
                </c:ext>
              </c:extLst>
            </c:dLbl>
            <c:dLbl>
              <c:idx val="3"/>
              <c:layout>
                <c:manualLayout>
                  <c:x val="-3.371695218129811E-2"/>
                  <c:y val="3.3477043362537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7-4F79-A406-6E7617AAC32B}"/>
                </c:ext>
              </c:extLst>
            </c:dLbl>
            <c:dLbl>
              <c:idx val="4"/>
              <c:layout>
                <c:manualLayout>
                  <c:x val="-3.371695218129811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7-4F79-A406-6E7617AAC32B}"/>
                </c:ext>
              </c:extLst>
            </c:dLbl>
            <c:dLbl>
              <c:idx val="5"/>
              <c:layout>
                <c:manualLayout>
                  <c:x val="-3.5320801419469722E-2"/>
                  <c:y val="2.643478984141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7-4F79-A406-6E7617AAC32B}"/>
                </c:ext>
              </c:extLst>
            </c:dLbl>
            <c:dLbl>
              <c:idx val="6"/>
              <c:layout>
                <c:manualLayout>
                  <c:x val="-3.371695218129811E-2"/>
                  <c:y val="2.643478984141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7-4F79-A406-6E7617AAC32B}"/>
                </c:ext>
              </c:extLst>
            </c:dLbl>
            <c:dLbl>
              <c:idx val="7"/>
              <c:layout>
                <c:manualLayout>
                  <c:x val="-3.371695218129811E-2"/>
                  <c:y val="2.643478984141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7-4F79-A406-6E7617AAC32B}"/>
                </c:ext>
              </c:extLst>
            </c:dLbl>
            <c:dLbl>
              <c:idx val="8"/>
              <c:layout>
                <c:manualLayout>
                  <c:x val="-3.371695218129811E-2"/>
                  <c:y val="2.6434789841410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7-4F79-A406-6E7617AAC32B}"/>
                </c:ext>
              </c:extLst>
            </c:dLbl>
            <c:dLbl>
              <c:idx val="9"/>
              <c:layout>
                <c:manualLayout>
                  <c:x val="-3.371695218129811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7-4F79-A406-6E7617AAC32B}"/>
                </c:ext>
              </c:extLst>
            </c:dLbl>
            <c:dLbl>
              <c:idx val="10"/>
              <c:layout>
                <c:manualLayout>
                  <c:x val="-3.3716952181297992E-2"/>
                  <c:y val="2.995591660197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7-4F79-A406-6E7617AAC32B}"/>
                </c:ext>
              </c:extLst>
            </c:dLbl>
            <c:dLbl>
              <c:idx val="11"/>
              <c:layout>
                <c:manualLayout>
                  <c:x val="-2.9595185926538654E-2"/>
                  <c:y val="2.995591660197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1-4540-B48F-D755EF8DA0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'GS-1101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'GS-1101 Trend'!$D$28:$O$28</c:f>
              <c:numCache>
                <c:formatCode>#,##0</c:formatCode>
                <c:ptCount val="12"/>
                <c:pt idx="0">
                  <c:v>14371</c:v>
                </c:pt>
                <c:pt idx="1">
                  <c:v>14231</c:v>
                </c:pt>
                <c:pt idx="2">
                  <c:v>14232</c:v>
                </c:pt>
                <c:pt idx="3">
                  <c:v>14220</c:v>
                </c:pt>
                <c:pt idx="4">
                  <c:v>14154</c:v>
                </c:pt>
                <c:pt idx="5">
                  <c:v>14223</c:v>
                </c:pt>
                <c:pt idx="6">
                  <c:v>14306</c:v>
                </c:pt>
                <c:pt idx="7">
                  <c:v>14417</c:v>
                </c:pt>
                <c:pt idx="8">
                  <c:v>14607</c:v>
                </c:pt>
                <c:pt idx="9">
                  <c:v>14690</c:v>
                </c:pt>
                <c:pt idx="10">
                  <c:v>14922</c:v>
                </c:pt>
                <c:pt idx="11">
                  <c:v>15070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1-4540-B48F-D755EF8DA0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32638832"/>
        <c:axId val="691954096"/>
      </c:lineChart>
      <c:catAx>
        <c:axId val="63263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4096"/>
        <c:crosses val="autoZero"/>
        <c:auto val="1"/>
        <c:lblAlgn val="ctr"/>
        <c:lblOffset val="100"/>
        <c:noMultiLvlLbl val="0"/>
      </c:catAx>
      <c:valAx>
        <c:axId val="6919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63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Has Been the Total Population of GS-1102s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'GS-1102 Trend'!$B$26:$C$26</c:f>
              <c:strCache>
                <c:ptCount val="2"/>
                <c:pt idx="0">
                  <c:v>GS-1102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'GS-1102 Trend'!$D$26:$O$26</c:f>
              <c:numCache>
                <c:formatCode>#,##0</c:formatCode>
                <c:ptCount val="12"/>
                <c:pt idx="0">
                  <c:v>40116</c:v>
                </c:pt>
                <c:pt idx="1">
                  <c:v>40297</c:v>
                </c:pt>
                <c:pt idx="2">
                  <c:v>40619</c:v>
                </c:pt>
                <c:pt idx="3">
                  <c:v>40632</c:v>
                </c:pt>
                <c:pt idx="4">
                  <c:v>40588</c:v>
                </c:pt>
                <c:pt idx="5">
                  <c:v>40802</c:v>
                </c:pt>
                <c:pt idx="6">
                  <c:v>41374</c:v>
                </c:pt>
                <c:pt idx="7">
                  <c:v>41569</c:v>
                </c:pt>
                <c:pt idx="8">
                  <c:v>41738</c:v>
                </c:pt>
                <c:pt idx="9">
                  <c:v>42301</c:v>
                </c:pt>
                <c:pt idx="10">
                  <c:v>42976</c:v>
                </c:pt>
                <c:pt idx="11">
                  <c:v>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C-4CDC-9D74-0CCD64130443}"/>
            </c:ext>
          </c:extLst>
        </c:ser>
        <c:ser>
          <c:idx val="1"/>
          <c:order val="1"/>
          <c:tx>
            <c:strRef>
              <c:f>'GS-1102 Trend'!$B$27:$C$27</c:f>
              <c:strCache>
                <c:ptCount val="2"/>
                <c:pt idx="0">
                  <c:v>GS-1102 
Civilian Agencies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'GS-1102 Trend'!$D$27:$O$27</c:f>
              <c:numCache>
                <c:formatCode>#,##0</c:formatCode>
                <c:ptCount val="12"/>
                <c:pt idx="0">
                  <c:v>13520</c:v>
                </c:pt>
                <c:pt idx="1">
                  <c:v>13614</c:v>
                </c:pt>
                <c:pt idx="2">
                  <c:v>13769</c:v>
                </c:pt>
                <c:pt idx="3">
                  <c:v>13916</c:v>
                </c:pt>
                <c:pt idx="4">
                  <c:v>13977</c:v>
                </c:pt>
                <c:pt idx="5">
                  <c:v>14164</c:v>
                </c:pt>
                <c:pt idx="6">
                  <c:v>14450</c:v>
                </c:pt>
                <c:pt idx="7">
                  <c:v>14653</c:v>
                </c:pt>
                <c:pt idx="8">
                  <c:v>14828</c:v>
                </c:pt>
                <c:pt idx="9">
                  <c:v>15049</c:v>
                </c:pt>
                <c:pt idx="10">
                  <c:v>15373</c:v>
                </c:pt>
                <c:pt idx="11">
                  <c:v>15685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9-47AD-8C8D-2A1E3FAEABCD}"/>
            </c:ext>
          </c:extLst>
        </c:ser>
        <c:ser>
          <c:idx val="2"/>
          <c:order val="2"/>
          <c:tx>
            <c:strRef>
              <c:f>'GS-1102 Trend'!$B$28:$C$28</c:f>
              <c:strCache>
                <c:ptCount val="2"/>
                <c:pt idx="0">
                  <c:v>GS-1102 
Dept. of Defense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'GS-1102 Trend'!$D$25:$O$25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'GS-1102 Trend'!$D$28:$O$28</c:f>
              <c:numCache>
                <c:formatCode>#,##0</c:formatCode>
                <c:ptCount val="12"/>
                <c:pt idx="0">
                  <c:v>26596</c:v>
                </c:pt>
                <c:pt idx="1">
                  <c:v>26683</c:v>
                </c:pt>
                <c:pt idx="2">
                  <c:v>26850</c:v>
                </c:pt>
                <c:pt idx="3">
                  <c:v>26716</c:v>
                </c:pt>
                <c:pt idx="4">
                  <c:v>26611</c:v>
                </c:pt>
                <c:pt idx="5">
                  <c:v>26638</c:v>
                </c:pt>
                <c:pt idx="6">
                  <c:v>26924</c:v>
                </c:pt>
                <c:pt idx="7">
                  <c:v>26916</c:v>
                </c:pt>
                <c:pt idx="8">
                  <c:v>26910</c:v>
                </c:pt>
                <c:pt idx="9">
                  <c:v>27252</c:v>
                </c:pt>
                <c:pt idx="10">
                  <c:v>27603</c:v>
                </c:pt>
                <c:pt idx="11">
                  <c:v>27713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9-47AD-8C8D-2A1E3FAEA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8039984"/>
        <c:axId val="691961168"/>
      </c:lineChart>
      <c:catAx>
        <c:axId val="7680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1168"/>
        <c:crosses val="autoZero"/>
        <c:auto val="1"/>
        <c:lblAlgn val="ctr"/>
        <c:lblOffset val="100"/>
        <c:noMultiLvlLbl val="0"/>
      </c:catAx>
      <c:valAx>
        <c:axId val="6919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0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Many GS-1101 Were Hired or Lost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'1101 Personnel Actions'!$B$26:$C$26</c:f>
              <c:strCache>
                <c:ptCount val="2"/>
                <c:pt idx="0">
                  <c:v>GS-1101 
Hire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83333333333332E-2"/>
                  <c:y val="3.9815431234361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F4-41CA-98AE-8C601FD2F07E}"/>
                </c:ext>
              </c:extLst>
            </c:dLbl>
            <c:dLbl>
              <c:idx val="1"/>
              <c:layout>
                <c:manualLayout>
                  <c:x val="-2.4583333333333332E-2"/>
                  <c:y val="4.4732673721907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2-4E29-99CA-5EF373958EE7}"/>
                </c:ext>
              </c:extLst>
            </c:dLbl>
            <c:dLbl>
              <c:idx val="2"/>
              <c:layout>
                <c:manualLayout>
                  <c:x val="-2.4583333333333332E-2"/>
                  <c:y val="-3.448650551334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BE-424D-8CA0-14C956945046}"/>
                </c:ext>
              </c:extLst>
            </c:dLbl>
            <c:dLbl>
              <c:idx val="3"/>
              <c:layout>
                <c:manualLayout>
                  <c:x val="-2.6185897435897495E-2"/>
                  <c:y val="4.325887835449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3-481C-AD28-658069F00A5E}"/>
                </c:ext>
              </c:extLst>
            </c:dLbl>
            <c:dLbl>
              <c:idx val="4"/>
              <c:layout>
                <c:manualLayout>
                  <c:x val="-2.4583333333333332E-2"/>
                  <c:y val="-3.8373774706733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F4-41CA-98AE-8C601FD2F07E}"/>
                </c:ext>
              </c:extLst>
            </c:dLbl>
            <c:dLbl>
              <c:idx val="5"/>
              <c:layout>
                <c:manualLayout>
                  <c:x val="-2.2980769230769291E-2"/>
                  <c:y val="3.8602725679698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D-44EA-8A79-55422BECD6E2}"/>
                </c:ext>
              </c:extLst>
            </c:dLbl>
            <c:dLbl>
              <c:idx val="6"/>
              <c:layout>
                <c:manualLayout>
                  <c:x val="-2.4583333333333332E-2"/>
                  <c:y val="-3.8547018357399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8-4E45-B874-0128CF1610D4}"/>
                </c:ext>
              </c:extLst>
            </c:dLbl>
            <c:dLbl>
              <c:idx val="7"/>
              <c:layout>
                <c:manualLayout>
                  <c:x val="-2.1378205128205128E-2"/>
                  <c:y val="-4.2683452869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3-481C-AD28-658069F00A5E}"/>
                </c:ext>
              </c:extLst>
            </c:dLbl>
            <c:dLbl>
              <c:idx val="8"/>
              <c:layout>
                <c:manualLayout>
                  <c:x val="-2.6185897435897436E-2"/>
                  <c:y val="-3.9239992960063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F4-41CA-98AE-8C601FD2F07E}"/>
                </c:ext>
              </c:extLst>
            </c:dLbl>
            <c:dLbl>
              <c:idx val="9"/>
              <c:layout>
                <c:manualLayout>
                  <c:x val="-2.7788461538461658E-2"/>
                  <c:y val="-5.011149372345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3-481C-AD28-658069F00A5E}"/>
                </c:ext>
              </c:extLst>
            </c:dLbl>
            <c:dLbl>
              <c:idx val="10"/>
              <c:layout>
                <c:manualLayout>
                  <c:x val="-2.939102564102564E-2"/>
                  <c:y val="-5.080446576830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F4-41CA-98AE-8C601FD2F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'1101 Personnel Actions'!$D$25:$O$25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'1101 Personnel Actions'!$D$26:$O$26</c:f>
              <c:numCache>
                <c:formatCode>#,##0</c:formatCode>
                <c:ptCount val="12"/>
                <c:pt idx="0">
                  <c:v>640</c:v>
                </c:pt>
                <c:pt idx="1">
                  <c:v>676</c:v>
                </c:pt>
                <c:pt idx="2">
                  <c:v>982</c:v>
                </c:pt>
                <c:pt idx="3">
                  <c:v>631</c:v>
                </c:pt>
                <c:pt idx="4">
                  <c:v>882</c:v>
                </c:pt>
                <c:pt idx="5">
                  <c:v>686</c:v>
                </c:pt>
                <c:pt idx="6">
                  <c:v>789</c:v>
                </c:pt>
                <c:pt idx="7">
                  <c:v>912</c:v>
                </c:pt>
                <c:pt idx="8">
                  <c:v>817</c:v>
                </c:pt>
                <c:pt idx="9">
                  <c:v>682</c:v>
                </c:pt>
                <c:pt idx="10">
                  <c:v>1026</c:v>
                </c:pt>
                <c:pt idx="11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A-4946-A715-A3538747CCA9}"/>
            </c:ext>
          </c:extLst>
        </c:ser>
        <c:ser>
          <c:idx val="1"/>
          <c:order val="1"/>
          <c:tx>
            <c:strRef>
              <c:f>'1101 Personnel Actions'!$B$27:$C$27</c:f>
              <c:strCache>
                <c:ptCount val="2"/>
                <c:pt idx="0">
                  <c:v>GS-1101 
Loss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83333333333332E-2"/>
                  <c:y val="-4.295401850278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F3-481C-AD28-658069F00A5E}"/>
                </c:ext>
              </c:extLst>
            </c:dLbl>
            <c:dLbl>
              <c:idx val="1"/>
              <c:layout>
                <c:manualLayout>
                  <c:x val="-3.0993589743589744E-2"/>
                  <c:y val="-3.1465454573280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F4-41CA-98AE-8C601FD2F07E}"/>
                </c:ext>
              </c:extLst>
            </c:dLbl>
            <c:dLbl>
              <c:idx val="2"/>
              <c:layout>
                <c:manualLayout>
                  <c:x val="-2.4583333333333332E-2"/>
                  <c:y val="3.9468943933028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0D-44EA-8A79-55422BECD6E2}"/>
                </c:ext>
              </c:extLst>
            </c:dLbl>
            <c:dLbl>
              <c:idx val="3"/>
              <c:layout>
                <c:manualLayout>
                  <c:x val="-2.6830961033716998E-2"/>
                  <c:y val="-2.3073850462569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0D-44EA-8A79-55422BECD6E2}"/>
                </c:ext>
              </c:extLst>
            </c:dLbl>
            <c:dLbl>
              <c:idx val="4"/>
              <c:layout>
                <c:manualLayout>
                  <c:x val="-2.4583333333333332E-2"/>
                  <c:y val="4.4732673721907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0-4677-9B69-E4A2D193D2BA}"/>
                </c:ext>
              </c:extLst>
            </c:dLbl>
            <c:dLbl>
              <c:idx val="5"/>
              <c:layout>
                <c:manualLayout>
                  <c:x val="-2.458333333333345E-2"/>
                  <c:y val="-4.6841287696180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BE-424D-8CA0-14C956945046}"/>
                </c:ext>
              </c:extLst>
            </c:dLbl>
            <c:dLbl>
              <c:idx val="6"/>
              <c:layout>
                <c:manualLayout>
                  <c:x val="-2.4583333333333332E-2"/>
                  <c:y val="3.1001430943581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3-481C-AD28-658069F00A5E}"/>
                </c:ext>
              </c:extLst>
            </c:dLbl>
            <c:dLbl>
              <c:idx val="7"/>
              <c:layout>
                <c:manualLayout>
                  <c:x val="-2.2980769230769232E-2"/>
                  <c:y val="3.90249965272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F4-41CA-98AE-8C601FD2F07E}"/>
                </c:ext>
              </c:extLst>
            </c:dLbl>
            <c:dLbl>
              <c:idx val="8"/>
              <c:layout>
                <c:manualLayout>
                  <c:x val="-2.7788461538461658E-2"/>
                  <c:y val="4.6550507717147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3-481C-AD28-658069F00A5E}"/>
                </c:ext>
              </c:extLst>
            </c:dLbl>
            <c:dLbl>
              <c:idx val="9"/>
              <c:layout>
                <c:manualLayout>
                  <c:x val="-2.6185897435897436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F4-41CA-98AE-8C601FD2F07E}"/>
                </c:ext>
              </c:extLst>
            </c:dLbl>
            <c:dLbl>
              <c:idx val="10"/>
              <c:layout>
                <c:manualLayout>
                  <c:x val="-2.4583333333333332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3-481C-AD28-658069F00A5E}"/>
                </c:ext>
              </c:extLst>
            </c:dLbl>
            <c:dLbl>
              <c:idx val="11"/>
              <c:layout>
                <c:manualLayout>
                  <c:x val="-2.4583333333333332E-2"/>
                  <c:y val="3.531097610013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F4-41CA-98AE-8C601FD2F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'1101 Personnel Actions'!$D$25:$O$25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'1101 Personnel Actions'!$D$27:$O$27</c:f>
              <c:numCache>
                <c:formatCode>#,##0</c:formatCode>
                <c:ptCount val="12"/>
                <c:pt idx="0">
                  <c:v>1020</c:v>
                </c:pt>
                <c:pt idx="1">
                  <c:v>969</c:v>
                </c:pt>
                <c:pt idx="2">
                  <c:v>899</c:v>
                </c:pt>
                <c:pt idx="3">
                  <c:v>984</c:v>
                </c:pt>
                <c:pt idx="4">
                  <c:v>843</c:v>
                </c:pt>
                <c:pt idx="5">
                  <c:v>733</c:v>
                </c:pt>
                <c:pt idx="6">
                  <c:v>664</c:v>
                </c:pt>
                <c:pt idx="7">
                  <c:v>720</c:v>
                </c:pt>
                <c:pt idx="8">
                  <c:v>518</c:v>
                </c:pt>
                <c:pt idx="9">
                  <c:v>550</c:v>
                </c:pt>
                <c:pt idx="10">
                  <c:v>627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C-4293-9472-C9885242A93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44665200"/>
        <c:axId val="691973232"/>
      </c:lineChart>
      <c:catAx>
        <c:axId val="94466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73232"/>
        <c:crosses val="autoZero"/>
        <c:auto val="1"/>
        <c:lblAlgn val="ctr"/>
        <c:lblOffset val="100"/>
        <c:noMultiLvlLbl val="0"/>
      </c:catAx>
      <c:valAx>
        <c:axId val="69197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66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Many GS-1102s Were Hired or Lost per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'1102 Personnel Actions'!$B$26:$C$26</c:f>
              <c:strCache>
                <c:ptCount val="2"/>
                <c:pt idx="0">
                  <c:v>GS-1102 
Hire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7766212970376302E-2"/>
                  <c:y val="3.6850687648572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8C-4B2B-973D-4171A83998C5}"/>
                </c:ext>
              </c:extLst>
            </c:dLbl>
            <c:dLbl>
              <c:idx val="4"/>
              <c:layout>
                <c:manualLayout>
                  <c:x val="-2.9367493995196215E-2"/>
                  <c:y val="-3.291673291926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8-4868-8B9E-667038657E2B}"/>
                </c:ext>
              </c:extLst>
            </c:dLbl>
            <c:dLbl>
              <c:idx val="6"/>
              <c:layout>
                <c:manualLayout>
                  <c:x val="-2.9358289781431443E-2"/>
                  <c:y val="-4.2532185029547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C-413D-B70D-B51501E5039E}"/>
                </c:ext>
              </c:extLst>
            </c:dLbl>
            <c:dLbl>
              <c:idx val="7"/>
              <c:layout>
                <c:manualLayout>
                  <c:x val="-2.9357028930230799E-2"/>
                  <c:y val="-3.525543696043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8-4691-BFA1-955D723C822F}"/>
                </c:ext>
              </c:extLst>
            </c:dLbl>
            <c:dLbl>
              <c:idx val="8"/>
              <c:layout>
                <c:manualLayout>
                  <c:x val="-2.1349362954930874E-2"/>
                  <c:y val="-5.108311936668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CF-4479-A43C-7CE710F85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'1102 Personnel Actions'!$D$25:$O$25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'1102 Personnel Actions'!$D$26:$O$26</c:f>
              <c:numCache>
                <c:formatCode>#,##0</c:formatCode>
                <c:ptCount val="12"/>
                <c:pt idx="0">
                  <c:v>956</c:v>
                </c:pt>
                <c:pt idx="1">
                  <c:v>817</c:v>
                </c:pt>
                <c:pt idx="2">
                  <c:v>958</c:v>
                </c:pt>
                <c:pt idx="3">
                  <c:v>683</c:v>
                </c:pt>
                <c:pt idx="4">
                  <c:v>1019</c:v>
                </c:pt>
                <c:pt idx="5">
                  <c:v>930</c:v>
                </c:pt>
                <c:pt idx="6">
                  <c:v>1248</c:v>
                </c:pt>
                <c:pt idx="7">
                  <c:v>1131</c:v>
                </c:pt>
                <c:pt idx="8">
                  <c:v>1366</c:v>
                </c:pt>
                <c:pt idx="9">
                  <c:v>1403</c:v>
                </c:pt>
                <c:pt idx="10">
                  <c:v>1584</c:v>
                </c:pt>
                <c:pt idx="11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9-4486-938D-FD8E3BB95BE3}"/>
            </c:ext>
          </c:extLst>
        </c:ser>
        <c:ser>
          <c:idx val="1"/>
          <c:order val="1"/>
          <c:tx>
            <c:strRef>
              <c:f>'1102 Personnel Actions'!$B$27:$C$27</c:f>
              <c:strCache>
                <c:ptCount val="2"/>
                <c:pt idx="0">
                  <c:v>GS-1102 
Loss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5382152861146E-2"/>
                  <c:y val="3.5310965773703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98-4F47-85BA-E4EAF202760A}"/>
                </c:ext>
              </c:extLst>
            </c:dLbl>
            <c:dLbl>
              <c:idx val="1"/>
              <c:layout>
                <c:manualLayout>
                  <c:x val="-2.4553821528611446E-2"/>
                  <c:y val="4.273900445565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98-4F47-85BA-E4EAF202760A}"/>
                </c:ext>
              </c:extLst>
            </c:dLbl>
            <c:dLbl>
              <c:idx val="2"/>
              <c:layout>
                <c:manualLayout>
                  <c:x val="-2.4553821528611446E-2"/>
                  <c:y val="3.1596946432728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98-4F47-85BA-E4EAF202760A}"/>
                </c:ext>
              </c:extLst>
            </c:dLbl>
            <c:dLbl>
              <c:idx val="3"/>
              <c:layout>
                <c:manualLayout>
                  <c:x val="-2.6155097306191411E-2"/>
                  <c:y val="-4.2046315678961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98-4F47-85BA-E4EAF202760A}"/>
                </c:ext>
              </c:extLst>
            </c:dLbl>
            <c:dLbl>
              <c:idx val="4"/>
              <c:layout>
                <c:manualLayout>
                  <c:x val="-2.7756378331011265E-2"/>
                  <c:y val="3.1435014516567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98-4F47-85BA-E4EAF202760A}"/>
                </c:ext>
              </c:extLst>
            </c:dLbl>
            <c:dLbl>
              <c:idx val="5"/>
              <c:layout>
                <c:manualLayout>
                  <c:x val="-2.4553821528611446E-2"/>
                  <c:y val="3.1596946432728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98-4F47-85BA-E4EAF202760A}"/>
                </c:ext>
              </c:extLst>
            </c:dLbl>
            <c:dLbl>
              <c:idx val="6"/>
              <c:layout>
                <c:manualLayout>
                  <c:x val="-2.7756378331011265E-2"/>
                  <c:y val="2.6922106170388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98-4F47-85BA-E4EAF202760A}"/>
                </c:ext>
              </c:extLst>
            </c:dLbl>
            <c:dLbl>
              <c:idx val="7"/>
              <c:layout>
                <c:manualLayout>
                  <c:x val="-2.6154461784713885E-2"/>
                  <c:y val="3.9024985114678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98-4F47-85BA-E4EAF202760A}"/>
                </c:ext>
              </c:extLst>
            </c:dLbl>
            <c:dLbl>
              <c:idx val="8"/>
              <c:layout>
                <c:manualLayout>
                  <c:x val="-2.4553821528611446E-2"/>
                  <c:y val="3.9024985114678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8-4691-BFA1-955D723C822F}"/>
                </c:ext>
              </c:extLst>
            </c:dLbl>
            <c:dLbl>
              <c:idx val="9"/>
              <c:layout>
                <c:manualLayout>
                  <c:x val="-2.4553821528611561E-2"/>
                  <c:y val="4.2739004455653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98-4F47-85BA-E4EAF202760A}"/>
                </c:ext>
              </c:extLst>
            </c:dLbl>
            <c:dLbl>
              <c:idx val="10"/>
              <c:layout>
                <c:manualLayout>
                  <c:x val="-2.4553821528611446E-2"/>
                  <c:y val="4.2739004455653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98-4F47-85BA-E4EAF202760A}"/>
                </c:ext>
              </c:extLst>
            </c:dLbl>
            <c:dLbl>
              <c:idx val="11"/>
              <c:layout>
                <c:manualLayout>
                  <c:x val="-2.4553821528611561E-2"/>
                  <c:y val="5.0167043137603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8F-4600-83BF-02323B7D0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'1102 Personnel Actions'!$D$25:$O$25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'1102 Personnel Actions'!$D$27:$O$27</c:f>
              <c:numCache>
                <c:formatCode>#,##0</c:formatCode>
                <c:ptCount val="12"/>
                <c:pt idx="0">
                  <c:v>446</c:v>
                </c:pt>
                <c:pt idx="1">
                  <c:v>473</c:v>
                </c:pt>
                <c:pt idx="2">
                  <c:v>533</c:v>
                </c:pt>
                <c:pt idx="3">
                  <c:v>710</c:v>
                </c:pt>
                <c:pt idx="4">
                  <c:v>547</c:v>
                </c:pt>
                <c:pt idx="5">
                  <c:v>505</c:v>
                </c:pt>
                <c:pt idx="6">
                  <c:v>512</c:v>
                </c:pt>
                <c:pt idx="7">
                  <c:v>592</c:v>
                </c:pt>
                <c:pt idx="8">
                  <c:v>418</c:v>
                </c:pt>
                <c:pt idx="9">
                  <c:v>417</c:v>
                </c:pt>
                <c:pt idx="10">
                  <c:v>407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F-4600-83BF-02323B7D01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4058160"/>
        <c:axId val="691966992"/>
      </c:lineChart>
      <c:catAx>
        <c:axId val="69405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6992"/>
        <c:crosses val="autoZero"/>
        <c:auto val="1"/>
        <c:lblAlgn val="ctr"/>
        <c:lblOffset val="100"/>
        <c:noMultiLvlLbl val="0"/>
      </c:catAx>
      <c:valAx>
        <c:axId val="69196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Employees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5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Has Attrition Affected GS-1101s and GS-1102s by Quarter?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266042831602559E-2"/>
          <c:y val="0.14609549679255063"/>
          <c:w val="0.89124120354520897"/>
          <c:h val="0.67242393725228455"/>
        </c:manualLayout>
      </c:layout>
      <c:lineChart>
        <c:grouping val="standard"/>
        <c:varyColors val="0"/>
        <c:ser>
          <c:idx val="2"/>
          <c:order val="2"/>
          <c:tx>
            <c:strRef>
              <c:f>'Total Attrition'!$B$28:$C$28</c:f>
              <c:strCache>
                <c:ptCount val="2"/>
                <c:pt idx="0">
                  <c:v>GS-1101 
Loss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810745789895765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D-432B-8E0E-43E791966E0C}"/>
                </c:ext>
              </c:extLst>
            </c:dLbl>
            <c:dLbl>
              <c:idx val="1"/>
              <c:layout>
                <c:manualLayout>
                  <c:x val="-2.941459502806739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56-480F-82C0-821291A4C078}"/>
                </c:ext>
              </c:extLst>
            </c:dLbl>
            <c:dLbl>
              <c:idx val="2"/>
              <c:layout>
                <c:manualLayout>
                  <c:x val="-2.6206896551724167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BD-45F1-8CF6-9C6568970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Attrition'!$D$25:$O$25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'Total Attrition'!$D$28:$O$28</c:f>
              <c:numCache>
                <c:formatCode>#,##0</c:formatCode>
                <c:ptCount val="12"/>
                <c:pt idx="0">
                  <c:v>1020</c:v>
                </c:pt>
                <c:pt idx="1">
                  <c:v>969</c:v>
                </c:pt>
                <c:pt idx="2">
                  <c:v>899</c:v>
                </c:pt>
                <c:pt idx="3">
                  <c:v>984</c:v>
                </c:pt>
                <c:pt idx="4">
                  <c:v>843</c:v>
                </c:pt>
                <c:pt idx="5">
                  <c:v>733</c:v>
                </c:pt>
                <c:pt idx="6">
                  <c:v>664</c:v>
                </c:pt>
                <c:pt idx="7">
                  <c:v>720</c:v>
                </c:pt>
                <c:pt idx="8">
                  <c:v>518</c:v>
                </c:pt>
                <c:pt idx="9">
                  <c:v>550</c:v>
                </c:pt>
                <c:pt idx="10">
                  <c:v>627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BD-45F1-8CF6-9C6568970B49}"/>
            </c:ext>
          </c:extLst>
        </c:ser>
        <c:ser>
          <c:idx val="4"/>
          <c:order val="4"/>
          <c:tx>
            <c:strRef>
              <c:f>'Total Attrition'!$B$30:$C$30</c:f>
              <c:strCache>
                <c:ptCount val="2"/>
                <c:pt idx="0">
                  <c:v>GS-1102 
Loss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603047313552527E-2"/>
                  <c:y val="3.5245524800595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BD-45F1-8CF6-9C6568970B49}"/>
                </c:ext>
              </c:extLst>
            </c:dLbl>
            <c:dLbl>
              <c:idx val="1"/>
              <c:layout>
                <c:manualLayout>
                  <c:x val="-2.7810745789895751E-2"/>
                  <c:y val="3.8952661037852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BD-45F1-8CF6-9C6568970B49}"/>
                </c:ext>
              </c:extLst>
            </c:dLbl>
            <c:dLbl>
              <c:idx val="2"/>
              <c:layout>
                <c:manualLayout>
                  <c:x val="-2.4603047313552555E-2"/>
                  <c:y val="2.7831252326082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BD-45F1-8CF6-9C6568970B49}"/>
                </c:ext>
              </c:extLst>
            </c:dLbl>
            <c:dLbl>
              <c:idx val="3"/>
              <c:layout>
                <c:manualLayout>
                  <c:x val="-2.4603061801390349E-2"/>
                  <c:y val="4.7042360983946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BD-45F1-8CF6-9C6568970B49}"/>
                </c:ext>
              </c:extLst>
            </c:dLbl>
            <c:dLbl>
              <c:idx val="4"/>
              <c:layout>
                <c:manualLayout>
                  <c:x val="-2.4603047313552586E-2"/>
                  <c:y val="3.8952661037852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BD-45F1-8CF6-9C6568970B49}"/>
                </c:ext>
              </c:extLst>
            </c:dLbl>
            <c:dLbl>
              <c:idx val="5"/>
              <c:layout>
                <c:manualLayout>
                  <c:x val="-2.4603047313552645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BD-45F1-8CF6-9C6568970B49}"/>
                </c:ext>
              </c:extLst>
            </c:dLbl>
            <c:dLbl>
              <c:idx val="6"/>
              <c:layout>
                <c:manualLayout>
                  <c:x val="-2.4603047313552527E-2"/>
                  <c:y val="3.1538388563338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BD-45F1-8CF6-9C6568970B49}"/>
                </c:ext>
              </c:extLst>
            </c:dLbl>
            <c:dLbl>
              <c:idx val="7"/>
              <c:layout>
                <c:manualLayout>
                  <c:x val="-2.4603047313552527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BD-45F1-8CF6-9C6568970B49}"/>
                </c:ext>
              </c:extLst>
            </c:dLbl>
            <c:dLbl>
              <c:idx val="8"/>
              <c:layout>
                <c:manualLayout>
                  <c:x val="-2.9416539539055812E-2"/>
                  <c:y val="3.153848501495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BD-45F1-8CF6-9C6568970B49}"/>
                </c:ext>
              </c:extLst>
            </c:dLbl>
            <c:dLbl>
              <c:idx val="9"/>
              <c:layout>
                <c:manualLayout>
                  <c:x val="-2.4603047313552527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BD-45F1-8CF6-9C6568970B49}"/>
                </c:ext>
              </c:extLst>
            </c:dLbl>
            <c:dLbl>
              <c:idx val="10"/>
              <c:layout>
                <c:manualLayout>
                  <c:x val="-2.4603047313552409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BD-45F1-8CF6-9C6568970B49}"/>
                </c:ext>
              </c:extLst>
            </c:dLbl>
            <c:dLbl>
              <c:idx val="11"/>
              <c:layout>
                <c:manualLayout>
                  <c:x val="-2.460304731355276E-2"/>
                  <c:y val="3.52455248005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BD-45F1-8CF6-9C6568970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Attrition'!$D$25:$O$25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'Total Attrition'!$D$30:$O$30</c:f>
              <c:numCache>
                <c:formatCode>#,##0</c:formatCode>
                <c:ptCount val="12"/>
                <c:pt idx="0">
                  <c:v>446</c:v>
                </c:pt>
                <c:pt idx="1">
                  <c:v>473</c:v>
                </c:pt>
                <c:pt idx="2">
                  <c:v>533</c:v>
                </c:pt>
                <c:pt idx="3">
                  <c:v>710</c:v>
                </c:pt>
                <c:pt idx="4">
                  <c:v>547</c:v>
                </c:pt>
                <c:pt idx="5">
                  <c:v>505</c:v>
                </c:pt>
                <c:pt idx="6">
                  <c:v>512</c:v>
                </c:pt>
                <c:pt idx="7">
                  <c:v>592</c:v>
                </c:pt>
                <c:pt idx="8">
                  <c:v>418</c:v>
                </c:pt>
                <c:pt idx="9">
                  <c:v>417</c:v>
                </c:pt>
                <c:pt idx="10">
                  <c:v>407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3BD-45F1-8CF6-9C6568970B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6576736"/>
        <c:axId val="6919624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'Total Attrition'!$B$26:$C$26</c15:sqref>
                        </c15:formulaRef>
                      </c:ext>
                    </c:extLst>
                    <c:strCache>
                      <c:ptCount val="2"/>
                      <c:pt idx="0">
                        <c:v>Total 
Loss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'Total Attrition'!$D$26:$O$26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1466</c:v>
                      </c:pt>
                      <c:pt idx="1">
                        <c:v>1442</c:v>
                      </c:pt>
                      <c:pt idx="2">
                        <c:v>1432</c:v>
                      </c:pt>
                      <c:pt idx="3">
                        <c:v>1694</c:v>
                      </c:pt>
                      <c:pt idx="4">
                        <c:v>1390</c:v>
                      </c:pt>
                      <c:pt idx="5">
                        <c:v>1238</c:v>
                      </c:pt>
                      <c:pt idx="6">
                        <c:v>1176</c:v>
                      </c:pt>
                      <c:pt idx="7">
                        <c:v>1312</c:v>
                      </c:pt>
                      <c:pt idx="8">
                        <c:v>936</c:v>
                      </c:pt>
                      <c:pt idx="9">
                        <c:v>967</c:v>
                      </c:pt>
                      <c:pt idx="10">
                        <c:v>1034</c:v>
                      </c:pt>
                      <c:pt idx="11">
                        <c:v>1115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51C-4766-8796-79F6A3DB4FB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Attrition'!$B$27:$C$27</c15:sqref>
                        </c15:formulaRef>
                      </c:ext>
                    </c:extLst>
                    <c:strCache>
                      <c:ptCount val="2"/>
                      <c:pt idx="0">
                        <c:v>Total 
Loss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2.0713821459858141E-2</c:v>
                      </c:pt>
                      <c:pt idx="1">
                        <c:v>2.0522308403899524E-2</c:v>
                      </c:pt>
                      <c:pt idx="2">
                        <c:v>2.0376510095763904E-2</c:v>
                      </c:pt>
                      <c:pt idx="3">
                        <c:v>2.3960396039603961E-2</c:v>
                      </c:pt>
                      <c:pt idx="4">
                        <c:v>1.9632768361581922E-2</c:v>
                      </c:pt>
                      <c:pt idx="5">
                        <c:v>1.7594224319254163E-2</c:v>
                      </c:pt>
                      <c:pt idx="6">
                        <c:v>1.6653685477589747E-2</c:v>
                      </c:pt>
                      <c:pt idx="7">
                        <c:v>1.8390289030304728E-2</c:v>
                      </c:pt>
                      <c:pt idx="8">
                        <c:v>1.3023152270703473E-2</c:v>
                      </c:pt>
                      <c:pt idx="9">
                        <c:v>1.3371867913048289E-2</c:v>
                      </c:pt>
                      <c:pt idx="10">
                        <c:v>1.4155851267729041E-2</c:v>
                      </c:pt>
                      <c:pt idx="11">
                        <c:v>1.504967066191556E-2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F7D-40B7-81E0-6DFFB76E28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
Loss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Attrition'!$D$29:$O$29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3.3151326053042121E-2</c:v>
                      </c:pt>
                      <c:pt idx="1">
                        <c:v>3.2140369498159141E-2</c:v>
                      </c:pt>
                      <c:pt idx="2">
                        <c:v>2.9986657771847898E-2</c:v>
                      </c:pt>
                      <c:pt idx="3">
                        <c:v>3.2711678468136031E-2</c:v>
                      </c:pt>
                      <c:pt idx="4">
                        <c:v>2.7943516308671441E-2</c:v>
                      </c:pt>
                      <c:pt idx="5">
                        <c:v>2.4617141321869963E-2</c:v>
                      </c:pt>
                      <c:pt idx="6">
                        <c:v>2.2272163150303559E-2</c:v>
                      </c:pt>
                      <c:pt idx="7">
                        <c:v>2.4025627335824879E-2</c:v>
                      </c:pt>
                      <c:pt idx="8">
                        <c:v>1.7094017094017096E-2</c:v>
                      </c:pt>
                      <c:pt idx="9">
                        <c:v>1.7986787886715941E-2</c:v>
                      </c:pt>
                      <c:pt idx="10">
                        <c:v>2.0394886640861334E-2</c:v>
                      </c:pt>
                      <c:pt idx="11">
                        <c:v>1.9285163281049112E-2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BD-45F1-8CF6-9C6568970B49}"/>
                  </c:ext>
                </c:extLst>
              </c15:ser>
            </c15:filteredLineSeries>
          </c:ext>
        </c:extLst>
      </c:lineChart>
      <c:catAx>
        <c:axId val="6865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62416"/>
        <c:crosses val="autoZero"/>
        <c:auto val="1"/>
        <c:lblAlgn val="ctr"/>
        <c:lblOffset val="100"/>
        <c:noMultiLvlLbl val="0"/>
      </c:catAx>
      <c:valAx>
        <c:axId val="69196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Attritions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57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Retirements Affected GS-1101s and GS-1102s by Quarter?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'Attrition by Retirement'!$B$28:$C$28</c:f>
              <c:strCache>
                <c:ptCount val="2"/>
                <c:pt idx="0">
                  <c:v>GS-1101 Retirement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603061801390349E-2"/>
                  <c:y val="-3.1118967271948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53-462F-8D69-250C30446544}"/>
                </c:ext>
              </c:extLst>
            </c:dLbl>
            <c:dLbl>
              <c:idx val="1"/>
              <c:layout>
                <c:manualLayout>
                  <c:x val="-2.460179842140674E-2"/>
                  <c:y val="-3.5006236465339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B-432B-B785-365AD9317672}"/>
                </c:ext>
              </c:extLst>
            </c:dLbl>
            <c:dLbl>
              <c:idx val="2"/>
              <c:layout>
                <c:manualLayout>
                  <c:x val="-3.5834509855943129E-2"/>
                  <c:y val="-3.8969414537468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98-4155-8DB4-7C3FB056F029}"/>
                </c:ext>
              </c:extLst>
            </c:dLbl>
            <c:dLbl>
              <c:idx val="3"/>
              <c:layout>
                <c:manualLayout>
                  <c:x val="-3.1021032118277635E-2"/>
                  <c:y val="-3.154136345201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98-4155-8DB4-7C3FB056F029}"/>
                </c:ext>
              </c:extLst>
            </c:dLbl>
            <c:dLbl>
              <c:idx val="4"/>
              <c:layout>
                <c:manualLayout>
                  <c:x val="-1.3381468110710048E-2"/>
                  <c:y val="-3.301271014592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9-4505-ABD0-F1B40861B24A}"/>
                </c:ext>
              </c:extLst>
            </c:dLbl>
            <c:dLbl>
              <c:idx val="5"/>
              <c:layout>
                <c:manualLayout>
                  <c:x val="-2.4612916165262795E-2"/>
                  <c:y val="3.3070866141732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A-46C2-ACA3-71FDF2E2B286}"/>
                </c:ext>
              </c:extLst>
            </c:dLbl>
            <c:dLbl>
              <c:idx val="6"/>
              <c:layout>
                <c:manualLayout>
                  <c:x val="-2.7821901323706377E-2"/>
                  <c:y val="4.084540452851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A-46C2-ACA3-71FDF2E2B286}"/>
                </c:ext>
              </c:extLst>
            </c:dLbl>
            <c:dLbl>
              <c:idx val="7"/>
              <c:layout>
                <c:manualLayout>
                  <c:x val="-2.6209449450587629E-2"/>
                  <c:y val="5.4671533405263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53-462F-8D69-250C30446544}"/>
                </c:ext>
              </c:extLst>
            </c:dLbl>
            <c:dLbl>
              <c:idx val="8"/>
              <c:layout>
                <c:manualLayout>
                  <c:x val="-2.9418434609031388E-2"/>
                  <c:y val="5.0784264211871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3B-432B-B785-365AD9317672}"/>
                </c:ext>
              </c:extLst>
            </c:dLbl>
            <c:dLbl>
              <c:idx val="9"/>
              <c:layout>
                <c:manualLayout>
                  <c:x val="-2.460369349138217E-2"/>
                  <c:y val="-3.9066749309397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98-4155-8DB4-7C3FB056F029}"/>
                </c:ext>
              </c:extLst>
            </c:dLbl>
            <c:dLbl>
              <c:idx val="10"/>
              <c:layout>
                <c:manualLayout>
                  <c:x val="-2.620692269062035E-2"/>
                  <c:y val="-3.9586480261395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B-432B-B785-365AD9317672}"/>
                </c:ext>
              </c:extLst>
            </c:dLbl>
            <c:dLbl>
              <c:idx val="11"/>
              <c:layout>
                <c:manualLayout>
                  <c:x val="-2.941653953905593E-2"/>
                  <c:y val="-3.1985491609467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3B-432B-B785-365AD93176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'Attrition by Retirement'!$D$25:$O$25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'Attrition by Retirement'!$D$28:$O$28</c:f>
              <c:numCache>
                <c:formatCode>#,##0</c:formatCode>
                <c:ptCount val="12"/>
                <c:pt idx="0">
                  <c:v>259</c:v>
                </c:pt>
                <c:pt idx="1">
                  <c:v>234</c:v>
                </c:pt>
                <c:pt idx="2">
                  <c:v>279</c:v>
                </c:pt>
                <c:pt idx="3">
                  <c:v>481</c:v>
                </c:pt>
                <c:pt idx="4">
                  <c:v>254</c:v>
                </c:pt>
                <c:pt idx="5">
                  <c:v>219</c:v>
                </c:pt>
                <c:pt idx="6">
                  <c:v>222</c:v>
                </c:pt>
                <c:pt idx="7">
                  <c:v>353</c:v>
                </c:pt>
                <c:pt idx="8">
                  <c:v>181</c:v>
                </c:pt>
                <c:pt idx="9">
                  <c:v>214</c:v>
                </c:pt>
                <c:pt idx="10">
                  <c:v>204</c:v>
                </c:pt>
                <c:pt idx="11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8-4155-8DB4-7C3FB056F029}"/>
            </c:ext>
          </c:extLst>
        </c:ser>
        <c:ser>
          <c:idx val="4"/>
          <c:order val="4"/>
          <c:tx>
            <c:strRef>
              <c:f>'Attrition by Retirement'!$B$30:$C$30</c:f>
              <c:strCache>
                <c:ptCount val="2"/>
                <c:pt idx="0">
                  <c:v>GS-1102 Retirement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603061801390349E-2"/>
                  <c:y val="4.6204020415815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98-4155-8DB4-7C3FB056F029}"/>
                </c:ext>
              </c:extLst>
            </c:dLbl>
            <c:dLbl>
              <c:idx val="1"/>
              <c:layout>
                <c:manualLayout>
                  <c:x val="-3.2626156387491272E-2"/>
                  <c:y val="3.52351874383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98-4155-8DB4-7C3FB056F029}"/>
                </c:ext>
              </c:extLst>
            </c:dLbl>
            <c:dLbl>
              <c:idx val="2"/>
              <c:layout>
                <c:manualLayout>
                  <c:x val="-2.7810745789895751E-2"/>
                  <c:y val="4.2739016954357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53-462F-8D69-250C30446544}"/>
                </c:ext>
              </c:extLst>
            </c:dLbl>
            <c:dLbl>
              <c:idx val="3"/>
              <c:layout>
                <c:manualLayout>
                  <c:x val="-2.4603047313552527E-2"/>
                  <c:y val="4.645303738146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B-432B-B785-365AD9317672}"/>
                </c:ext>
              </c:extLst>
            </c:dLbl>
            <c:dLbl>
              <c:idx val="4"/>
              <c:layout>
                <c:manualLayout>
                  <c:x val="-2.4603061801390408E-2"/>
                  <c:y val="3.8678634558435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98-4155-8DB4-7C3FB056F029}"/>
                </c:ext>
              </c:extLst>
            </c:dLbl>
            <c:dLbl>
              <c:idx val="5"/>
              <c:layout>
                <c:manualLayout>
                  <c:x val="-2.9416539539055871E-2"/>
                  <c:y val="-3.4313261862675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98-4155-8DB4-7C3FB056F029}"/>
                </c:ext>
              </c:extLst>
            </c:dLbl>
            <c:dLbl>
              <c:idx val="6"/>
              <c:layout>
                <c:manualLayout>
                  <c:x val="-2.9416539539055812E-2"/>
                  <c:y val="-4.347374945478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98-4155-8DB4-7C3FB056F029}"/>
                </c:ext>
              </c:extLst>
            </c:dLbl>
            <c:dLbl>
              <c:idx val="7"/>
              <c:layout>
                <c:manualLayout>
                  <c:x val="-2.7812046959834108E-2"/>
                  <c:y val="-4.347374945478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98-4155-8DB4-7C3FB056F029}"/>
                </c:ext>
              </c:extLst>
            </c:dLbl>
            <c:dLbl>
              <c:idx val="8"/>
              <c:layout>
                <c:manualLayout>
                  <c:x val="-1.9789584063724885E-2"/>
                  <c:y val="-3.587276080285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98-4155-8DB4-7C3FB056F029}"/>
                </c:ext>
              </c:extLst>
            </c:dLbl>
            <c:dLbl>
              <c:idx val="9"/>
              <c:layout>
                <c:manualLayout>
                  <c:x val="-2.9416539539055812E-2"/>
                  <c:y val="4.3009725825088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98-4155-8DB4-7C3FB056F029}"/>
                </c:ext>
              </c:extLst>
            </c:dLbl>
            <c:dLbl>
              <c:idx val="10"/>
              <c:layout>
                <c:manualLayout>
                  <c:x val="-2.7811415269842172E-2"/>
                  <c:y val="3.877596933036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98-4155-8DB4-7C3FB056F029}"/>
                </c:ext>
              </c:extLst>
            </c:dLbl>
            <c:dLbl>
              <c:idx val="11"/>
              <c:layout>
                <c:manualLayout>
                  <c:x val="-2.2999832602152052E-2"/>
                  <c:y val="6.24460717920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98-4155-8DB4-7C3FB056F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'Attrition by Retirement'!$D$25:$O$25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'Attrition by Retirement'!$D$30:$O$30</c:f>
              <c:numCache>
                <c:formatCode>#,##0</c:formatCode>
                <c:ptCount val="12"/>
                <c:pt idx="0">
                  <c:v>244</c:v>
                </c:pt>
                <c:pt idx="1">
                  <c:v>224</c:v>
                </c:pt>
                <c:pt idx="2">
                  <c:v>260</c:v>
                </c:pt>
                <c:pt idx="3">
                  <c:v>429</c:v>
                </c:pt>
                <c:pt idx="4">
                  <c:v>243</c:v>
                </c:pt>
                <c:pt idx="5">
                  <c:v>228</c:v>
                </c:pt>
                <c:pt idx="6">
                  <c:v>224</c:v>
                </c:pt>
                <c:pt idx="7">
                  <c:v>363</c:v>
                </c:pt>
                <c:pt idx="8">
                  <c:v>199</c:v>
                </c:pt>
                <c:pt idx="9">
                  <c:v>207</c:v>
                </c:pt>
                <c:pt idx="10">
                  <c:v>163</c:v>
                </c:pt>
                <c:pt idx="11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8-4155-8DB4-7C3FB056F0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0854688"/>
        <c:axId val="6919553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'Attrition by Retirement'!$B$26:$C$26</c15:sqref>
                        </c15:formulaRef>
                      </c:ext>
                    </c:extLst>
                    <c:strCache>
                      <c:ptCount val="2"/>
                      <c:pt idx="0">
                        <c:v>Total 
Retirement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'Attrition by Retirement'!$D$26:$O$26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503</c:v>
                      </c:pt>
                      <c:pt idx="1">
                        <c:v>458</c:v>
                      </c:pt>
                      <c:pt idx="2">
                        <c:v>539</c:v>
                      </c:pt>
                      <c:pt idx="3">
                        <c:v>910</c:v>
                      </c:pt>
                      <c:pt idx="4">
                        <c:v>497</c:v>
                      </c:pt>
                      <c:pt idx="5">
                        <c:v>447</c:v>
                      </c:pt>
                      <c:pt idx="6">
                        <c:v>446</c:v>
                      </c:pt>
                      <c:pt idx="7">
                        <c:v>716</c:v>
                      </c:pt>
                      <c:pt idx="8">
                        <c:v>380</c:v>
                      </c:pt>
                      <c:pt idx="9">
                        <c:v>421</c:v>
                      </c:pt>
                      <c:pt idx="10">
                        <c:v>367</c:v>
                      </c:pt>
                      <c:pt idx="11">
                        <c:v>646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E9C-4E40-8ACA-54D87CBAFA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Retirement'!$B$27:$C$27</c15:sqref>
                        </c15:formulaRef>
                      </c:ext>
                    </c:extLst>
                    <c:strCache>
                      <c:ptCount val="2"/>
                      <c:pt idx="0">
                        <c:v>Total 
Retirement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7.107129736909034E-3</c:v>
                      </c:pt>
                      <c:pt idx="1">
                        <c:v>6.5181811712801538E-3</c:v>
                      </c:pt>
                      <c:pt idx="2">
                        <c:v>7.6696500988943754E-3</c:v>
                      </c:pt>
                      <c:pt idx="3">
                        <c:v>1.2871287128712871E-2</c:v>
                      </c:pt>
                      <c:pt idx="4">
                        <c:v>7.0197740112994348E-3</c:v>
                      </c:pt>
                      <c:pt idx="5">
                        <c:v>6.3526803479051789E-3</c:v>
                      </c:pt>
                      <c:pt idx="6">
                        <c:v>6.3159385399702613E-3</c:v>
                      </c:pt>
                      <c:pt idx="7">
                        <c:v>1.0036163830562642E-2</c:v>
                      </c:pt>
                      <c:pt idx="8">
                        <c:v>5.2871772039180765E-3</c:v>
                      </c:pt>
                      <c:pt idx="9">
                        <c:v>5.8216715526301236E-3</c:v>
                      </c:pt>
                      <c:pt idx="10">
                        <c:v>5.0243688735556648E-3</c:v>
                      </c:pt>
                      <c:pt idx="11">
                        <c:v>8.7193607601770869E-3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0-509B-4DF7-950B-45DED95FE13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Retirement %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'Attrition by Retirement'!$D$29:$O$29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8.4178367134685392E-3</c:v>
                      </c:pt>
                      <c:pt idx="1">
                        <c:v>7.7614514577597927E-3</c:v>
                      </c:pt>
                      <c:pt idx="2">
                        <c:v>9.3062041360907274E-3</c:v>
                      </c:pt>
                      <c:pt idx="3">
                        <c:v>1.5990159901599015E-2</c:v>
                      </c:pt>
                      <c:pt idx="4">
                        <c:v>8.4195173693980378E-3</c:v>
                      </c:pt>
                      <c:pt idx="5">
                        <c:v>7.3549167114454594E-3</c:v>
                      </c:pt>
                      <c:pt idx="6">
                        <c:v>7.4464159930231781E-3</c:v>
                      </c:pt>
                      <c:pt idx="7">
                        <c:v>1.1779231179925253E-2</c:v>
                      </c:pt>
                      <c:pt idx="8">
                        <c:v>5.9730059730059726E-3</c:v>
                      </c:pt>
                      <c:pt idx="9">
                        <c:v>6.9984956504676567E-3</c:v>
                      </c:pt>
                      <c:pt idx="10">
                        <c:v>6.6356568975051234E-3</c:v>
                      </c:pt>
                      <c:pt idx="11">
                        <c:v>1.041398817176652E-2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698-4155-8DB4-7C3FB056F029}"/>
                  </c:ext>
                </c:extLst>
              </c15:ser>
            </c15:filteredLineSeries>
          </c:ext>
        </c:extLst>
      </c:lineChart>
      <c:catAx>
        <c:axId val="7608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5344"/>
        <c:crosses val="autoZero"/>
        <c:auto val="1"/>
        <c:lblAlgn val="ctr"/>
        <c:lblOffset val="100"/>
        <c:noMultiLvlLbl val="0"/>
      </c:catAx>
      <c:valAx>
        <c:axId val="6919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Retirements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5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Accessions Affected GS-1101s and GS-1102s by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Accessions!$B$28:$C$28</c:f>
              <c:strCache>
                <c:ptCount val="2"/>
                <c:pt idx="0">
                  <c:v>GS-1101 
Hire Count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6142740560791244E-2"/>
                  <c:y val="4.6711835439174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F-4C9E-ADC5-DBB28A7329DC}"/>
                </c:ext>
              </c:extLst>
            </c:dLbl>
            <c:dLbl>
              <c:idx val="1"/>
              <c:layout>
                <c:manualLayout>
                  <c:x val="-2.9344651246325303E-2"/>
                  <c:y val="3.4577305743758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8D-41DC-8F43-5E4B12270281}"/>
                </c:ext>
              </c:extLst>
            </c:dLbl>
            <c:dLbl>
              <c:idx val="2"/>
              <c:layout>
                <c:manualLayout>
                  <c:x val="-2.6146521600766262E-2"/>
                  <c:y val="-3.754654214734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4C-47D6-A2AC-B50EC4D31789}"/>
                </c:ext>
              </c:extLst>
            </c:dLbl>
            <c:dLbl>
              <c:idx val="3"/>
              <c:layout>
                <c:manualLayout>
                  <c:x val="-2.4545251171334735E-2"/>
                  <c:y val="3.9121345296954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F-4C9E-ADC5-DBB28A7329DC}"/>
                </c:ext>
              </c:extLst>
            </c:dLbl>
            <c:dLbl>
              <c:idx val="4"/>
              <c:layout>
                <c:manualLayout>
                  <c:x val="-2.4544000000000059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8D-41DC-8F43-5E4B12270281}"/>
                </c:ext>
              </c:extLst>
            </c:dLbl>
            <c:dLbl>
              <c:idx val="5"/>
              <c:layout>
                <c:manualLayout>
                  <c:x val="-2.6144631080778826E-2"/>
                  <c:y val="5.3957150704999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8D-41DC-8F43-5E4B12270281}"/>
                </c:ext>
              </c:extLst>
            </c:dLbl>
            <c:dLbl>
              <c:idx val="6"/>
              <c:layout>
                <c:manualLayout>
                  <c:x val="-2.4544000000000118E-2"/>
                  <c:y val="4.2659797275108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8D-41DC-8F43-5E4B12270281}"/>
                </c:ext>
              </c:extLst>
            </c:dLbl>
            <c:dLbl>
              <c:idx val="7"/>
              <c:layout>
                <c:manualLayout>
                  <c:x val="-2.6144000000000001E-2"/>
                  <c:y val="3.8952661037852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F-4C9E-ADC5-DBB28A7329DC}"/>
                </c:ext>
              </c:extLst>
            </c:dLbl>
            <c:dLbl>
              <c:idx val="8"/>
              <c:layout>
                <c:manualLayout>
                  <c:x val="-2.9345911592983651E-2"/>
                  <c:y val="3.153848501495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8D-41DC-8F43-5E4B12270281}"/>
                </c:ext>
              </c:extLst>
            </c:dLbl>
            <c:dLbl>
              <c:idx val="9"/>
              <c:layout>
                <c:manualLayout>
                  <c:x val="-2.2943999999999999E-2"/>
                  <c:y val="5.3781205986879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8D-41DC-8F43-5E4B12270281}"/>
                </c:ext>
              </c:extLst>
            </c:dLbl>
            <c:dLbl>
              <c:idx val="10"/>
              <c:layout>
                <c:manualLayout>
                  <c:x val="-2.7744641163552151E-2"/>
                  <c:y val="5.4463773423670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8D-41DC-8F43-5E4B12270281}"/>
                </c:ext>
              </c:extLst>
            </c:dLbl>
            <c:dLbl>
              <c:idx val="11"/>
              <c:layout>
                <c:manualLayout>
                  <c:x val="-2.4543990824676443E-2"/>
                  <c:y val="5.47942989684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8D-41DC-8F43-5E4B12270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Accessions!$D$25:$O$25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Accessions!$D$28:$O$28</c:f>
              <c:numCache>
                <c:formatCode>#,##0</c:formatCode>
                <c:ptCount val="12"/>
                <c:pt idx="0">
                  <c:v>640</c:v>
                </c:pt>
                <c:pt idx="1">
                  <c:v>676</c:v>
                </c:pt>
                <c:pt idx="2">
                  <c:v>982</c:v>
                </c:pt>
                <c:pt idx="3">
                  <c:v>631</c:v>
                </c:pt>
                <c:pt idx="4">
                  <c:v>882</c:v>
                </c:pt>
                <c:pt idx="5">
                  <c:v>686</c:v>
                </c:pt>
                <c:pt idx="6">
                  <c:v>789</c:v>
                </c:pt>
                <c:pt idx="7">
                  <c:v>912</c:v>
                </c:pt>
                <c:pt idx="8">
                  <c:v>817</c:v>
                </c:pt>
                <c:pt idx="9">
                  <c:v>682</c:v>
                </c:pt>
                <c:pt idx="10">
                  <c:v>1026</c:v>
                </c:pt>
                <c:pt idx="11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D-41DC-8F43-5E4B12270281}"/>
            </c:ext>
          </c:extLst>
        </c:ser>
        <c:ser>
          <c:idx val="4"/>
          <c:order val="4"/>
          <c:tx>
            <c:strRef>
              <c:f>Accessions!$B$30:$C$30</c:f>
              <c:strCache>
                <c:ptCount val="2"/>
                <c:pt idx="0">
                  <c:v>GS-1102 
Hire Count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43990824676329E-2"/>
                  <c:y val="-3.098364157968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0F-4C9E-ADC5-DBB28A7329DC}"/>
                </c:ext>
              </c:extLst>
            </c:dLbl>
            <c:dLbl>
              <c:idx val="1"/>
              <c:layout>
                <c:manualLayout>
                  <c:x val="-2.4543990824676329E-2"/>
                  <c:y val="-3.469083806384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8D-41DC-8F43-5E4B12270281}"/>
                </c:ext>
              </c:extLst>
            </c:dLbl>
            <c:dLbl>
              <c:idx val="2"/>
              <c:layout>
                <c:manualLayout>
                  <c:x val="-2.7743380816893717E-2"/>
                  <c:y val="3.827717756210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8D-41DC-8F43-5E4B12270281}"/>
                </c:ext>
              </c:extLst>
            </c:dLbl>
            <c:dLbl>
              <c:idx val="3"/>
              <c:layout>
                <c:manualLayout>
                  <c:x val="-2.6789298396523963E-2"/>
                  <c:y val="-5.87834950863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8D-41DC-8F43-5E4B12270281}"/>
                </c:ext>
              </c:extLst>
            </c:dLbl>
            <c:dLbl>
              <c:idx val="4"/>
              <c:layout>
                <c:manualLayout>
                  <c:x val="-2.6145891427437177E-2"/>
                  <c:y val="-5.4738753586034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8D-41DC-8F43-5E4B12270281}"/>
                </c:ext>
              </c:extLst>
            </c:dLbl>
            <c:dLbl>
              <c:idx val="5"/>
              <c:layout>
                <c:manualLayout>
                  <c:x val="-3.4147832361290972E-2"/>
                  <c:y val="-2.7276445095525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4C-47D6-A2AC-B50EC4D31789}"/>
                </c:ext>
              </c:extLst>
            </c:dLbl>
            <c:dLbl>
              <c:idx val="6"/>
              <c:layout>
                <c:manualLayout>
                  <c:x val="-2.4544000000000118E-2"/>
                  <c:y val="-3.8897199944538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0F-4C9E-ADC5-DBB28A7329DC}"/>
                </c:ext>
              </c:extLst>
            </c:dLbl>
            <c:dLbl>
              <c:idx val="7"/>
              <c:layout>
                <c:manualLayout>
                  <c:x val="-2.9343999999999999E-2"/>
                  <c:y val="-4.631147241905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8D-41DC-8F43-5E4B12270281}"/>
                </c:ext>
              </c:extLst>
            </c:dLbl>
            <c:dLbl>
              <c:idx val="8"/>
              <c:layout>
                <c:manualLayout>
                  <c:x val="-2.9355742296918768E-2"/>
                  <c:y val="-3.679271195751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0-4F03-BD59-C4B1B7759D93}"/>
                </c:ext>
              </c:extLst>
            </c:dLbl>
            <c:dLbl>
              <c:idx val="10"/>
              <c:layout>
                <c:manualLayout>
                  <c:x val="-3.0946551849086207E-2"/>
                  <c:y val="-4.985686382225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4C-47D6-A2AC-B50EC4D31789}"/>
                </c:ext>
              </c:extLst>
            </c:dLbl>
            <c:dLbl>
              <c:idx val="11"/>
              <c:layout>
                <c:manualLayout>
                  <c:x val="-1.9739549363052309E-2"/>
                  <c:y val="-3.5358908624793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F-4C9E-ADC5-DBB28A732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Accessions!$D$25:$O$25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Accessions!$D$30:$O$30</c:f>
              <c:numCache>
                <c:formatCode>#,##0</c:formatCode>
                <c:ptCount val="12"/>
                <c:pt idx="0">
                  <c:v>956</c:v>
                </c:pt>
                <c:pt idx="1">
                  <c:v>817</c:v>
                </c:pt>
                <c:pt idx="2">
                  <c:v>958</c:v>
                </c:pt>
                <c:pt idx="3">
                  <c:v>683</c:v>
                </c:pt>
                <c:pt idx="4">
                  <c:v>1019</c:v>
                </c:pt>
                <c:pt idx="5">
                  <c:v>930</c:v>
                </c:pt>
                <c:pt idx="6">
                  <c:v>1248</c:v>
                </c:pt>
                <c:pt idx="7">
                  <c:v>1131</c:v>
                </c:pt>
                <c:pt idx="8">
                  <c:v>1366</c:v>
                </c:pt>
                <c:pt idx="9">
                  <c:v>1403</c:v>
                </c:pt>
                <c:pt idx="10">
                  <c:v>1584</c:v>
                </c:pt>
                <c:pt idx="11">
                  <c:v>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D-41DC-8F43-5E4B122702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4603808"/>
        <c:axId val="69195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Accessions!$B$26:$C$26</c15:sqref>
                        </c15:formulaRef>
                      </c:ext>
                    </c:extLst>
                    <c:strCache>
                      <c:ptCount val="2"/>
                      <c:pt idx="0">
                        <c:v>Total 
Hire Count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Accessions!$D$26:$O$26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1596</c:v>
                      </c:pt>
                      <c:pt idx="1">
                        <c:v>1493</c:v>
                      </c:pt>
                      <c:pt idx="2">
                        <c:v>1940</c:v>
                      </c:pt>
                      <c:pt idx="3">
                        <c:v>1314</c:v>
                      </c:pt>
                      <c:pt idx="4">
                        <c:v>1901</c:v>
                      </c:pt>
                      <c:pt idx="5">
                        <c:v>1616</c:v>
                      </c:pt>
                      <c:pt idx="6">
                        <c:v>2037</c:v>
                      </c:pt>
                      <c:pt idx="7">
                        <c:v>2043</c:v>
                      </c:pt>
                      <c:pt idx="8">
                        <c:v>2183</c:v>
                      </c:pt>
                      <c:pt idx="9">
                        <c:v>2085</c:v>
                      </c:pt>
                      <c:pt idx="10">
                        <c:v>2610</c:v>
                      </c:pt>
                      <c:pt idx="11">
                        <c:v>1891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F00-4FF1-8B69-552F2857304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Accessions!$B$27:$C$27</c15:sqref>
                        </c15:formulaRef>
                      </c:ext>
                    </c:extLst>
                    <c:strCache>
                      <c:ptCount val="2"/>
                      <c:pt idx="0">
                        <c:v>Total 
Hire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2.2550654195043377E-2</c:v>
                      </c:pt>
                      <c:pt idx="1">
                        <c:v>2.1248132071443819E-2</c:v>
                      </c:pt>
                      <c:pt idx="2">
                        <c:v>2.7605048593423168E-2</c:v>
                      </c:pt>
                      <c:pt idx="3">
                        <c:v>1.8585572842998586E-2</c:v>
                      </c:pt>
                      <c:pt idx="4">
                        <c:v>2.6850282485875707E-2</c:v>
                      </c:pt>
                      <c:pt idx="5">
                        <c:v>2.296628957989881E-2</c:v>
                      </c:pt>
                      <c:pt idx="6">
                        <c:v>2.8846562345110811E-2</c:v>
                      </c:pt>
                      <c:pt idx="7">
                        <c:v>2.8636707689719942E-2</c:v>
                      </c:pt>
                      <c:pt idx="8">
                        <c:v>3.0373441674087266E-2</c:v>
                      </c:pt>
                      <c:pt idx="9">
                        <c:v>2.883179379390453E-2</c:v>
                      </c:pt>
                      <c:pt idx="10">
                        <c:v>3.5731887629374078E-2</c:v>
                      </c:pt>
                      <c:pt idx="11">
                        <c:v>2.5523701544109708E-2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9FA-42E4-9AB2-4ADCA4813AF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Accessions!$B$29:$C$29</c15:sqref>
                        </c15:formulaRef>
                      </c:ext>
                    </c:extLst>
                    <c:strCache>
                      <c:ptCount val="2"/>
                      <c:pt idx="0">
                        <c:v>GS-1101 
Hire Percentage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Accessions!$D$29:$O$29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2.0800832033281331E-2</c:v>
                      </c:pt>
                      <c:pt idx="1">
                        <c:v>2.2421970877972736E-2</c:v>
                      </c:pt>
                      <c:pt idx="2">
                        <c:v>3.2755170113408942E-2</c:v>
                      </c:pt>
                      <c:pt idx="3">
                        <c:v>2.0976696253449022E-2</c:v>
                      </c:pt>
                      <c:pt idx="4">
                        <c:v>2.9236276849642005E-2</c:v>
                      </c:pt>
                      <c:pt idx="5">
                        <c:v>2.3038688876947877E-2</c:v>
                      </c:pt>
                      <c:pt idx="6">
                        <c:v>2.6464964948176972E-2</c:v>
                      </c:pt>
                      <c:pt idx="7">
                        <c:v>3.0432461292044848E-2</c:v>
                      </c:pt>
                      <c:pt idx="8">
                        <c:v>2.6961026961026962E-2</c:v>
                      </c:pt>
                      <c:pt idx="9">
                        <c:v>2.2303616979527766E-2</c:v>
                      </c:pt>
                      <c:pt idx="10">
                        <c:v>3.3373450866864003E-2</c:v>
                      </c:pt>
                      <c:pt idx="11">
                        <c:v>2.4910002571355103E-2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18D-41DC-8F43-5E4B12270281}"/>
                  </c:ext>
                </c:extLst>
              </c15:ser>
            </c15:filteredLineSeries>
          </c:ext>
        </c:extLst>
      </c:lineChart>
      <c:catAx>
        <c:axId val="6846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2848"/>
        <c:crosses val="autoZero"/>
        <c:auto val="1"/>
        <c:lblAlgn val="ctr"/>
        <c:lblOffset val="100"/>
        <c:noMultiLvlLbl val="0"/>
      </c:catAx>
      <c:valAx>
        <c:axId val="6919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Accessions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 Have Transfers In &amp; Out Affected GS-1101s and GS-1102s by Quarter?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Transfers!$B$28:$C$28</c:f>
              <c:strCache>
                <c:ptCount val="2"/>
                <c:pt idx="0">
                  <c:v>1101 Transfer In Total</c:v>
                </c:pt>
              </c:strCache>
            </c:strRef>
          </c:tx>
          <c:spPr>
            <a:ln w="28575" cap="rnd">
              <a:solidFill>
                <a:srgbClr val="00508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454189506656225E-2"/>
                  <c:y val="3.5245524800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E02-4E88-837C-53F612A37C43}"/>
                </c:ext>
              </c:extLst>
            </c:dLbl>
            <c:dLbl>
              <c:idx val="1"/>
              <c:layout>
                <c:manualLayout>
                  <c:x val="-2.0454189506656225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E02-4E88-837C-53F612A37C43}"/>
                </c:ext>
              </c:extLst>
            </c:dLbl>
            <c:dLbl>
              <c:idx val="2"/>
              <c:layout>
                <c:manualLayout>
                  <c:x val="-2.0454189506656253E-2"/>
                  <c:y val="3.1538388563338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E02-4E88-837C-53F612A37C43}"/>
                </c:ext>
              </c:extLst>
            </c:dLbl>
            <c:dLbl>
              <c:idx val="3"/>
              <c:layout>
                <c:manualLayout>
                  <c:x val="-2.4025058731401722E-2"/>
                  <c:y val="3.5245524800595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E02-4E88-837C-53F612A37C43}"/>
                </c:ext>
              </c:extLst>
            </c:dLbl>
            <c:dLbl>
              <c:idx val="4"/>
              <c:layout>
                <c:manualLayout>
                  <c:x val="-2.0454189506656284E-2"/>
                  <c:y val="2.4124116088825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E02-4E88-837C-53F612A37C43}"/>
                </c:ext>
              </c:extLst>
            </c:dLbl>
            <c:dLbl>
              <c:idx val="5"/>
              <c:layout>
                <c:manualLayout>
                  <c:x val="-2.0454189506656225E-2"/>
                  <c:y val="3.1538388563338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E02-4E88-837C-53F612A37C43}"/>
                </c:ext>
              </c:extLst>
            </c:dLbl>
            <c:dLbl>
              <c:idx val="6"/>
              <c:layout>
                <c:manualLayout>
                  <c:x val="-2.2020398710665367E-2"/>
                  <c:y val="7.7915173646772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E02-4E88-837C-53F612A37C43}"/>
                </c:ext>
              </c:extLst>
            </c:dLbl>
            <c:dLbl>
              <c:idx val="7"/>
              <c:layout>
                <c:manualLayout>
                  <c:x val="-2.5256086686643277E-2"/>
                  <c:y val="6.2456236448704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E02-4E88-837C-53F612A37C43}"/>
                </c:ext>
              </c:extLst>
            </c:dLbl>
            <c:dLbl>
              <c:idx val="8"/>
              <c:layout>
                <c:manualLayout>
                  <c:x val="-2.0454189506656225E-2"/>
                  <c:y val="2.412411608882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E02-4E88-837C-53F612A37C43}"/>
                </c:ext>
              </c:extLst>
            </c:dLbl>
            <c:dLbl>
              <c:idx val="9"/>
              <c:layout>
                <c:manualLayout>
                  <c:x val="-2.5254173228346458E-2"/>
                  <c:y val="5.0074069749622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E02-4E88-837C-53F612A37C43}"/>
                </c:ext>
              </c:extLst>
            </c:dLbl>
            <c:dLbl>
              <c:idx val="10"/>
              <c:layout>
                <c:manualLayout>
                  <c:x val="-2.5254196166655755E-2"/>
                  <c:y val="4.2344706911636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E02-4E88-837C-53F612A37C43}"/>
                </c:ext>
              </c:extLst>
            </c:dLbl>
            <c:dLbl>
              <c:idx val="11"/>
              <c:layout>
                <c:manualLayout>
                  <c:x val="-2.4025058731401837E-2"/>
                  <c:y val="4.636693351236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E02-4E88-837C-53F612A37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Transfers!$D$28:$O$28</c:f>
              <c:numCache>
                <c:formatCode>#,##0</c:formatCode>
                <c:ptCount val="12"/>
                <c:pt idx="0">
                  <c:v>88</c:v>
                </c:pt>
                <c:pt idx="1">
                  <c:v>91</c:v>
                </c:pt>
                <c:pt idx="2">
                  <c:v>72</c:v>
                </c:pt>
                <c:pt idx="3">
                  <c:v>53</c:v>
                </c:pt>
                <c:pt idx="4">
                  <c:v>71</c:v>
                </c:pt>
                <c:pt idx="5">
                  <c:v>80</c:v>
                </c:pt>
                <c:pt idx="6">
                  <c:v>262</c:v>
                </c:pt>
                <c:pt idx="7">
                  <c:v>78</c:v>
                </c:pt>
                <c:pt idx="8">
                  <c:v>108</c:v>
                </c:pt>
                <c:pt idx="9">
                  <c:v>82</c:v>
                </c:pt>
                <c:pt idx="10">
                  <c:v>95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E02-4E88-837C-53F612A37C43}"/>
            </c:ext>
          </c:extLst>
        </c:ser>
        <c:ser>
          <c:idx val="4"/>
          <c:order val="4"/>
          <c:tx>
            <c:strRef>
              <c:f>Transfers!$B$30:$C$30</c:f>
              <c:strCache>
                <c:ptCount val="2"/>
                <c:pt idx="0">
                  <c:v>1102 Transfer In Total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Transfers!$D$30:$O$30</c:f>
              <c:numCache>
                <c:formatCode>#,##0</c:formatCode>
                <c:ptCount val="12"/>
                <c:pt idx="0">
                  <c:v>246</c:v>
                </c:pt>
                <c:pt idx="1">
                  <c:v>266</c:v>
                </c:pt>
                <c:pt idx="2">
                  <c:v>272</c:v>
                </c:pt>
                <c:pt idx="3">
                  <c:v>237</c:v>
                </c:pt>
                <c:pt idx="4">
                  <c:v>259</c:v>
                </c:pt>
                <c:pt idx="5">
                  <c:v>256</c:v>
                </c:pt>
                <c:pt idx="6">
                  <c:v>368</c:v>
                </c:pt>
                <c:pt idx="7">
                  <c:v>227</c:v>
                </c:pt>
                <c:pt idx="8">
                  <c:v>267</c:v>
                </c:pt>
                <c:pt idx="9">
                  <c:v>272</c:v>
                </c:pt>
                <c:pt idx="10">
                  <c:v>259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42-4A5A-A133-6984D463BC70}"/>
            </c:ext>
          </c:extLst>
        </c:ser>
        <c:ser>
          <c:idx val="8"/>
          <c:order val="8"/>
          <c:tx>
            <c:strRef>
              <c:f>Transfers!$B$34:$C$34</c:f>
              <c:strCache>
                <c:ptCount val="2"/>
                <c:pt idx="0">
                  <c:v>1101 Transfer Out Total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544E-2"/>
                  <c:y val="-2.7775791232768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BA-4EDB-96EB-8AE980C86C18}"/>
                </c:ext>
              </c:extLst>
            </c:dLbl>
            <c:dLbl>
              <c:idx val="1"/>
              <c:layout>
                <c:manualLayout>
                  <c:x val="-2.4544E-2"/>
                  <c:y val="-3.148292747002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BA-4EDB-96EB-8AE980C86C18}"/>
                </c:ext>
              </c:extLst>
            </c:dLbl>
            <c:dLbl>
              <c:idx val="2"/>
              <c:layout>
                <c:manualLayout>
                  <c:x val="-2.6144000000000028E-2"/>
                  <c:y val="-3.148292747002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BA-4EDB-96EB-8AE980C86C18}"/>
                </c:ext>
              </c:extLst>
            </c:dLbl>
            <c:dLbl>
              <c:idx val="3"/>
              <c:layout>
                <c:manualLayout>
                  <c:x val="-2.4544000000000059E-2"/>
                  <c:y val="-3.148292747002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BA-4EDB-96EB-8AE980C86C18}"/>
                </c:ext>
              </c:extLst>
            </c:dLbl>
            <c:dLbl>
              <c:idx val="4"/>
              <c:layout>
                <c:manualLayout>
                  <c:x val="-2.614400000000006E-2"/>
                  <c:y val="-2.77757912327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BA-4EDB-96EB-8AE980C86C18}"/>
                </c:ext>
              </c:extLst>
            </c:dLbl>
            <c:dLbl>
              <c:idx val="5"/>
              <c:layout>
                <c:manualLayout>
                  <c:x val="-2.9344000000000117E-2"/>
                  <c:y val="-3.5190063707282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BA-4EDB-96EB-8AE980C86C18}"/>
                </c:ext>
              </c:extLst>
            </c:dLbl>
            <c:dLbl>
              <c:idx val="6"/>
              <c:layout>
                <c:manualLayout>
                  <c:x val="-2.6144000000000001E-2"/>
                  <c:y val="-2.77757912327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BA-4EDB-96EB-8AE980C86C18}"/>
                </c:ext>
              </c:extLst>
            </c:dLbl>
            <c:dLbl>
              <c:idx val="7"/>
              <c:layout>
                <c:manualLayout>
                  <c:x val="-1.9740809709710656E-2"/>
                  <c:y val="-2.375350907223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BA-4EDB-96EB-8AE980C86C18}"/>
                </c:ext>
              </c:extLst>
            </c:dLbl>
            <c:dLbl>
              <c:idx val="8"/>
              <c:layout>
                <c:manualLayout>
                  <c:x val="-2.2943350568574005E-2"/>
                  <c:y val="-2.3753509072235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BA-4EDB-96EB-8AE980C86C18}"/>
                </c:ext>
              </c:extLst>
            </c:dLbl>
            <c:dLbl>
              <c:idx val="9"/>
              <c:layout>
                <c:manualLayout>
                  <c:x val="-2.4544000000000118E-2"/>
                  <c:y val="-3.519006370728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BA-4EDB-96EB-8AE980C86C18}"/>
                </c:ext>
              </c:extLst>
            </c:dLbl>
            <c:dLbl>
              <c:idx val="10"/>
              <c:layout>
                <c:manualLayout>
                  <c:x val="-1.9744000000000001E-2"/>
                  <c:y val="-2.4068654995512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BA-4EDB-96EB-8AE980C86C18}"/>
                </c:ext>
              </c:extLst>
            </c:dLbl>
            <c:dLbl>
              <c:idx val="11"/>
              <c:layout>
                <c:manualLayout>
                  <c:x val="-1.8144E-2"/>
                  <c:y val="-2.0361518758255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BA-4EDB-96EB-8AE980C86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Transfers!$D$34:$O$34</c:f>
              <c:numCache>
                <c:formatCode>#,##0</c:formatCode>
                <c:ptCount val="12"/>
                <c:pt idx="0">
                  <c:v>125</c:v>
                </c:pt>
                <c:pt idx="1">
                  <c:v>114</c:v>
                </c:pt>
                <c:pt idx="2">
                  <c:v>136</c:v>
                </c:pt>
                <c:pt idx="3">
                  <c:v>112</c:v>
                </c:pt>
                <c:pt idx="4">
                  <c:v>148</c:v>
                </c:pt>
                <c:pt idx="5">
                  <c:v>170</c:v>
                </c:pt>
                <c:pt idx="6">
                  <c:v>285</c:v>
                </c:pt>
                <c:pt idx="7">
                  <c:v>176</c:v>
                </c:pt>
                <c:pt idx="8">
                  <c:v>168</c:v>
                </c:pt>
                <c:pt idx="9">
                  <c:v>193</c:v>
                </c:pt>
                <c:pt idx="10">
                  <c:v>203</c:v>
                </c:pt>
                <c:pt idx="11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42-4A5A-A133-6984D463BC70}"/>
            </c:ext>
          </c:extLst>
        </c:ser>
        <c:ser>
          <c:idx val="10"/>
          <c:order val="10"/>
          <c:tx>
            <c:strRef>
              <c:f>Transfers!$B$36:$C$36</c:f>
              <c:strCache>
                <c:ptCount val="2"/>
                <c:pt idx="0">
                  <c:v>1102 Transfer Out Total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Transfers!$D$25:$O$25</c:f>
              <c:strCache>
                <c:ptCount val="12"/>
                <c:pt idx="0">
                  <c:v>FY21 Q2</c:v>
                </c:pt>
                <c:pt idx="1">
                  <c:v>FY21 Q3</c:v>
                </c:pt>
                <c:pt idx="2">
                  <c:v>FY21 Q4</c:v>
                </c:pt>
                <c:pt idx="3">
                  <c:v>FY22 Q1</c:v>
                </c:pt>
                <c:pt idx="4">
                  <c:v>FY22 Q2</c:v>
                </c:pt>
                <c:pt idx="5">
                  <c:v>FY22 Q3</c:v>
                </c:pt>
                <c:pt idx="6">
                  <c:v>FY22 Q4</c:v>
                </c:pt>
                <c:pt idx="7">
                  <c:v>FY23 Q1</c:v>
                </c:pt>
                <c:pt idx="8">
                  <c:v>FY23 Q2</c:v>
                </c:pt>
                <c:pt idx="9">
                  <c:v>FY23 Q3</c:v>
                </c:pt>
                <c:pt idx="10">
                  <c:v>FY23 Q4</c:v>
                </c:pt>
                <c:pt idx="11">
                  <c:v>FY24 Q1</c:v>
                </c:pt>
              </c:strCache>
            </c:strRef>
          </c:cat>
          <c:val>
            <c:numRef>
              <c:f>Transfers!$D$36:$O$36</c:f>
              <c:numCache>
                <c:formatCode>#,##0</c:formatCode>
                <c:ptCount val="12"/>
                <c:pt idx="0">
                  <c:v>512</c:v>
                </c:pt>
                <c:pt idx="1">
                  <c:v>516</c:v>
                </c:pt>
                <c:pt idx="2">
                  <c:v>555</c:v>
                </c:pt>
                <c:pt idx="3">
                  <c:v>501</c:v>
                </c:pt>
                <c:pt idx="4">
                  <c:v>620</c:v>
                </c:pt>
                <c:pt idx="5">
                  <c:v>562</c:v>
                </c:pt>
                <c:pt idx="6">
                  <c:v>721</c:v>
                </c:pt>
                <c:pt idx="7">
                  <c:v>624</c:v>
                </c:pt>
                <c:pt idx="8">
                  <c:v>549</c:v>
                </c:pt>
                <c:pt idx="9">
                  <c:v>693</c:v>
                </c:pt>
                <c:pt idx="10">
                  <c:v>659</c:v>
                </c:pt>
                <c:pt idx="11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42-4A5A-A133-6984D463BC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4603808"/>
        <c:axId val="69195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Transfers!$B$26:$C$26</c15:sqref>
                        </c15:formulaRef>
                      </c:ext>
                    </c:extLst>
                    <c:strCache>
                      <c:ptCount val="2"/>
                      <c:pt idx="0">
                        <c:v>Transfer In 
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Transfers!$D$26:$O$26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334</c:v>
                      </c:pt>
                      <c:pt idx="1">
                        <c:v>357</c:v>
                      </c:pt>
                      <c:pt idx="2">
                        <c:v>344</c:v>
                      </c:pt>
                      <c:pt idx="3">
                        <c:v>290</c:v>
                      </c:pt>
                      <c:pt idx="4">
                        <c:v>330</c:v>
                      </c:pt>
                      <c:pt idx="5">
                        <c:v>336</c:v>
                      </c:pt>
                      <c:pt idx="6">
                        <c:v>630</c:v>
                      </c:pt>
                      <c:pt idx="7">
                        <c:v>305</c:v>
                      </c:pt>
                      <c:pt idx="8">
                        <c:v>375</c:v>
                      </c:pt>
                      <c:pt idx="9">
                        <c:v>354</c:v>
                      </c:pt>
                      <c:pt idx="10">
                        <c:v>354</c:v>
                      </c:pt>
                      <c:pt idx="11">
                        <c:v>318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8E02-4E88-837C-53F612A37C4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Transfers!$B$27:$C$27</c15:sqref>
                        </c15:formulaRef>
                      </c:ext>
                    </c:extLst>
                    <c:strCache>
                      <c:ptCount val="2"/>
                      <c:pt idx="0">
                        <c:v>Transfer In 
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Transfers!$D$27:$O$27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4.7192471811682256E-3</c:v>
                      </c:pt>
                      <c:pt idx="1">
                        <c:v>5.080765672810076E-3</c:v>
                      </c:pt>
                      <c:pt idx="2">
                        <c:v>4.8949158330606028E-3</c:v>
                      </c:pt>
                      <c:pt idx="3">
                        <c:v>4.1018387553041023E-3</c:v>
                      </c:pt>
                      <c:pt idx="4">
                        <c:v>4.6610169491525426E-3</c:v>
                      </c:pt>
                      <c:pt idx="5">
                        <c:v>4.7751691205730204E-3</c:v>
                      </c:pt>
                      <c:pt idx="6">
                        <c:v>8.9216172201373647E-3</c:v>
                      </c:pt>
                      <c:pt idx="7">
                        <c:v>4.2751815200022429E-3</c:v>
                      </c:pt>
                      <c:pt idx="8">
                        <c:v>5.2176090828138909E-3</c:v>
                      </c:pt>
                      <c:pt idx="9">
                        <c:v>4.8951822556557332E-3</c:v>
                      </c:pt>
                      <c:pt idx="10">
                        <c:v>4.8463939543288981E-3</c:v>
                      </c:pt>
                      <c:pt idx="11">
                        <c:v>4.2921930677032715E-3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E02-4E88-837C-53F612A37C4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Transfers!$B$29:$C$29</c15:sqref>
                        </c15:formulaRef>
                      </c:ext>
                    </c:extLst>
                    <c:strCache>
                      <c:ptCount val="2"/>
                      <c:pt idx="0">
                        <c:v>1101 Transfer In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Transfers!$D$29:$O$29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2.8601144045761829E-3</c:v>
                      </c:pt>
                      <c:pt idx="1">
                        <c:v>3.018342233573253E-3</c:v>
                      </c:pt>
                      <c:pt idx="2">
                        <c:v>2.401601067378252E-3</c:v>
                      </c:pt>
                      <c:pt idx="3">
                        <c:v>1.7619095109870017E-3</c:v>
                      </c:pt>
                      <c:pt idx="4">
                        <c:v>2.3534871386900027E-3</c:v>
                      </c:pt>
                      <c:pt idx="5">
                        <c:v>2.6867275658248252E-3</c:v>
                      </c:pt>
                      <c:pt idx="6">
                        <c:v>8.7881125683426688E-3</c:v>
                      </c:pt>
                      <c:pt idx="7">
                        <c:v>2.6027762947143621E-3</c:v>
                      </c:pt>
                      <c:pt idx="8">
                        <c:v>3.564003564003564E-3</c:v>
                      </c:pt>
                      <c:pt idx="9">
                        <c:v>2.6816665576558309E-3</c:v>
                      </c:pt>
                      <c:pt idx="10">
                        <c:v>3.0901343395244446E-3</c:v>
                      </c:pt>
                      <c:pt idx="11">
                        <c:v>2.7642067369503726E-3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E02-4E88-837C-53F612A37C4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Transfers!$B$31:$C$31</c15:sqref>
                        </c15:formulaRef>
                      </c:ext>
                    </c:extLst>
                    <c:strCache>
                      <c:ptCount val="2"/>
                      <c:pt idx="0">
                        <c:v>1102 Transfer In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Transfers!$D$31:$O$31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6.1490776383542473E-3</c:v>
                      </c:pt>
                      <c:pt idx="1">
                        <c:v>6.630770764782132E-3</c:v>
                      </c:pt>
                      <c:pt idx="2">
                        <c:v>6.74988212522024E-3</c:v>
                      </c:pt>
                      <c:pt idx="3">
                        <c:v>5.8347078953199238E-3</c:v>
                      </c:pt>
                      <c:pt idx="4">
                        <c:v>6.3742862768261469E-3</c:v>
                      </c:pt>
                      <c:pt idx="5">
                        <c:v>6.3072829407706714E-3</c:v>
                      </c:pt>
                      <c:pt idx="6">
                        <c:v>9.0191657271702363E-3</c:v>
                      </c:pt>
                      <c:pt idx="7">
                        <c:v>5.4865374389713346E-3</c:v>
                      </c:pt>
                      <c:pt idx="8">
                        <c:v>6.4230556424258465E-3</c:v>
                      </c:pt>
                      <c:pt idx="9">
                        <c:v>6.5168431645023723E-3</c:v>
                      </c:pt>
                      <c:pt idx="10">
                        <c:v>6.1227866953499918E-3</c:v>
                      </c:pt>
                      <c:pt idx="11">
                        <c:v>5.3983618763961284E-3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42-4A5A-A133-6984D463BC7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Transfers!$B$32:$C$32</c15:sqref>
                        </c15:formulaRef>
                      </c:ext>
                    </c:extLst>
                    <c:strCache>
                      <c:ptCount val="2"/>
                      <c:pt idx="0">
                        <c:v>Transfer Out 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Transfers!$D$32:$O$32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637</c:v>
                      </c:pt>
                      <c:pt idx="1">
                        <c:v>630</c:v>
                      </c:pt>
                      <c:pt idx="2">
                        <c:v>691</c:v>
                      </c:pt>
                      <c:pt idx="3">
                        <c:v>613</c:v>
                      </c:pt>
                      <c:pt idx="4">
                        <c:v>768</c:v>
                      </c:pt>
                      <c:pt idx="5">
                        <c:v>732</c:v>
                      </c:pt>
                      <c:pt idx="6">
                        <c:v>1006</c:v>
                      </c:pt>
                      <c:pt idx="7">
                        <c:v>800</c:v>
                      </c:pt>
                      <c:pt idx="8">
                        <c:v>717</c:v>
                      </c:pt>
                      <c:pt idx="9">
                        <c:v>886</c:v>
                      </c:pt>
                      <c:pt idx="10">
                        <c:v>862</c:v>
                      </c:pt>
                      <c:pt idx="11">
                        <c:v>729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842-4A5A-A133-6984D463BC7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Transfers!$B$33:$C$33</c15:sqref>
                        </c15:formulaRef>
                      </c:ext>
                    </c:extLst>
                    <c:strCache>
                      <c:ptCount val="2"/>
                      <c:pt idx="0">
                        <c:v>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Transfers!$D$33:$O$33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9.0004804024076644E-3</c:v>
                      </c:pt>
                      <c:pt idx="1">
                        <c:v>8.9660570696648411E-3</c:v>
                      </c:pt>
                      <c:pt idx="2">
                        <c:v>9.8325198855955722E-3</c:v>
                      </c:pt>
                      <c:pt idx="3">
                        <c:v>8.670438472418671E-3</c:v>
                      </c:pt>
                      <c:pt idx="4">
                        <c:v>1.0847457627118645E-2</c:v>
                      </c:pt>
                      <c:pt idx="5">
                        <c:v>1.0403047012676936E-2</c:v>
                      </c:pt>
                      <c:pt idx="6">
                        <c:v>1.4246264957870141E-2</c:v>
                      </c:pt>
                      <c:pt idx="7">
                        <c:v>1.121359087213703E-2</c:v>
                      </c:pt>
                      <c:pt idx="8">
                        <c:v>9.9760685663401599E-3</c:v>
                      </c:pt>
                      <c:pt idx="9">
                        <c:v>1.2251783837601638E-2</c:v>
                      </c:pt>
                      <c:pt idx="10">
                        <c:v>1.1801106182574886E-2</c:v>
                      </c:pt>
                      <c:pt idx="11">
                        <c:v>9.8396501457725955E-3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842-4A5A-A133-6984D463BC7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Transfers!$B$35:$C$35</c15:sqref>
                        </c15:formulaRef>
                      </c:ext>
                    </c:extLst>
                    <c:strCache>
                      <c:ptCount val="2"/>
                      <c:pt idx="0">
                        <c:v>1101 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Transfers!$D$35:$O$35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4.06266250650026E-3</c:v>
                      </c:pt>
                      <c:pt idx="1">
                        <c:v>3.7812199409598991E-3</c:v>
                      </c:pt>
                      <c:pt idx="2">
                        <c:v>4.5363575717144765E-3</c:v>
                      </c:pt>
                      <c:pt idx="3">
                        <c:v>3.7232804760480038E-3</c:v>
                      </c:pt>
                      <c:pt idx="4">
                        <c:v>4.9058605144523997E-3</c:v>
                      </c:pt>
                      <c:pt idx="5">
                        <c:v>5.7092960773777535E-3</c:v>
                      </c:pt>
                      <c:pt idx="6">
                        <c:v>9.5595880991513772E-3</c:v>
                      </c:pt>
                      <c:pt idx="7">
                        <c:v>5.8729311265349705E-3</c:v>
                      </c:pt>
                      <c:pt idx="8">
                        <c:v>5.544005544005544E-3</c:v>
                      </c:pt>
                      <c:pt idx="9">
                        <c:v>6.3117273857021391E-3</c:v>
                      </c:pt>
                      <c:pt idx="10">
                        <c:v>6.6031291676153922E-3</c:v>
                      </c:pt>
                      <c:pt idx="11">
                        <c:v>4.821290820262278E-3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42-4A5A-A133-6984D463BC70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Transfers!$B$37:$C$37</c15:sqref>
                        </c15:formulaRef>
                      </c:ext>
                    </c:extLst>
                    <c:strCache>
                      <c:ptCount val="2"/>
                      <c:pt idx="0">
                        <c:v>1102 Transfer Out Rate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Transfers!$D$25:$O$25</c15:sqref>
                        </c15:formulaRef>
                      </c:ext>
                    </c:extLst>
                    <c:strCache>
                      <c:ptCount val="12"/>
                      <c:pt idx="0">
                        <c:v>FY21 Q2</c:v>
                      </c:pt>
                      <c:pt idx="1">
                        <c:v>FY21 Q3</c:v>
                      </c:pt>
                      <c:pt idx="2">
                        <c:v>FY21 Q4</c:v>
                      </c:pt>
                      <c:pt idx="3">
                        <c:v>FY22 Q1</c:v>
                      </c:pt>
                      <c:pt idx="4">
                        <c:v>FY22 Q2</c:v>
                      </c:pt>
                      <c:pt idx="5">
                        <c:v>FY22 Q3</c:v>
                      </c:pt>
                      <c:pt idx="6">
                        <c:v>FY22 Q4</c:v>
                      </c:pt>
                      <c:pt idx="7">
                        <c:v>FY23 Q1</c:v>
                      </c:pt>
                      <c:pt idx="8">
                        <c:v>FY23 Q2</c:v>
                      </c:pt>
                      <c:pt idx="9">
                        <c:v>FY23 Q3</c:v>
                      </c:pt>
                      <c:pt idx="10">
                        <c:v>FY23 Q4</c:v>
                      </c:pt>
                      <c:pt idx="11">
                        <c:v>FY24 Q1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Transfers!$D$37:$O$37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1.2798080287956806E-2</c:v>
                      </c:pt>
                      <c:pt idx="1">
                        <c:v>1.2862698175291655E-2</c:v>
                      </c:pt>
                      <c:pt idx="2">
                        <c:v>1.377273742462218E-2</c:v>
                      </c:pt>
                      <c:pt idx="3">
                        <c:v>1.2334129348334524E-2</c:v>
                      </c:pt>
                      <c:pt idx="4">
                        <c:v>1.5258909234101201E-2</c:v>
                      </c:pt>
                      <c:pt idx="5">
                        <c:v>1.3846457080910615E-2</c:v>
                      </c:pt>
                      <c:pt idx="6">
                        <c:v>1.7670702416548209E-2</c:v>
                      </c:pt>
                      <c:pt idx="7">
                        <c:v>1.5081935515057765E-2</c:v>
                      </c:pt>
                      <c:pt idx="8">
                        <c:v>1.3206957107459887E-2</c:v>
                      </c:pt>
                      <c:pt idx="9">
                        <c:v>1.6603574680147587E-2</c:v>
                      </c:pt>
                      <c:pt idx="10">
                        <c:v>1.5578827923689748E-2</c:v>
                      </c:pt>
                      <c:pt idx="11">
                        <c:v>1.3472635889798957E-2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42-4A5A-A133-6984D463BC70}"/>
                  </c:ext>
                </c:extLst>
              </c15:ser>
            </c15:filteredLineSeries>
          </c:ext>
        </c:extLst>
      </c:lineChart>
      <c:catAx>
        <c:axId val="6846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52848"/>
        <c:crosses val="autoZero"/>
        <c:auto val="1"/>
        <c:lblAlgn val="ctr"/>
        <c:lblOffset val="100"/>
        <c:noMultiLvlLbl val="0"/>
      </c:catAx>
      <c:valAx>
        <c:axId val="6919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Transfers per 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6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content.govdelivery.com/attachments/fancy_images/USFAI/2021/06/4633785/3601902/fai-pms302-hi-res_crop.jpg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s://content.govdelivery.com/attachments/fancy_images/USFAI/2021/06/4633785/3601902/fai-pms302-hi-res_crop.jpg" TargetMode="Externa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19051</xdr:rowOff>
    </xdr:from>
    <xdr:to>
      <xdr:col>1</xdr:col>
      <xdr:colOff>867530</xdr:colOff>
      <xdr:row>2</xdr:row>
      <xdr:rowOff>9526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2571D80C-4E8C-493D-9F6B-84AE09A6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12700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8C3359-BCE6-4514-A5F3-0BF6438B2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454780</xdr:colOff>
      <xdr:row>1</xdr:row>
      <xdr:rowOff>368300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3D31AD28-3E45-42B0-8AFC-788B2C35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5830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12700</xdr:colOff>
      <xdr:row>21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A6DFFD-583F-44FF-A111-577BD0D04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454780</xdr:colOff>
      <xdr:row>1</xdr:row>
      <xdr:rowOff>368300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C0A43882-F438-4C14-90BA-C053337A9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97730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457955</xdr:colOff>
      <xdr:row>1</xdr:row>
      <xdr:rowOff>358775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CA6FC37F-9160-484F-B9EA-CD8BCA64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502405</xdr:colOff>
      <xdr:row>1</xdr:row>
      <xdr:rowOff>361950</xdr:rowOff>
    </xdr:to>
    <xdr:pic>
      <xdr:nvPicPr>
        <xdr:cNvPr id="3" name="Picture 2" descr="FAI Modern Logo">
          <a:extLst>
            <a:ext uri="{FF2B5EF4-FFF2-40B4-BE49-F238E27FC236}">
              <a16:creationId xmlns:a16="http://schemas.microsoft.com/office/drawing/2014/main" id="{1A9EDF8F-C3D5-4034-AC0F-B3CBC8D4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5830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3</xdr:row>
      <xdr:rowOff>0</xdr:rowOff>
    </xdr:from>
    <xdr:to>
      <xdr:col>15</xdr:col>
      <xdr:colOff>0</xdr:colOff>
      <xdr:row>22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72419-E6C7-43FE-B147-26890B762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454780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38984F84-9CCF-473B-99C1-E00800BA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5830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82375F-7B5E-4E48-BDA0-935D34349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79C22E6A-A4FC-4AE0-8848-CA9FD261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15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6DDA56-A7A9-4B55-A22F-2DCD221FF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1A0DFEC7-5A61-42DE-B2C4-F30B3BD4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358775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E6373EF3-823A-402F-A75E-272C1016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0725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178252</xdr:rowOff>
    </xdr:from>
    <xdr:to>
      <xdr:col>15</xdr:col>
      <xdr:colOff>9525</xdr:colOff>
      <xdr:row>20</xdr:row>
      <xdr:rowOff>178253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76F165-0F85-4DA3-82C3-9DA2E756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4" name="Picture 3" descr="FAI Modern Logo">
          <a:extLst>
            <a:ext uri="{FF2B5EF4-FFF2-40B4-BE49-F238E27FC236}">
              <a16:creationId xmlns:a16="http://schemas.microsoft.com/office/drawing/2014/main" id="{A18F8F54-7B60-4547-B710-E0088247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CADAEA-4B6D-4E74-9972-5887C0B64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8CC88E92-B98B-446C-B8AB-EF574891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603250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541A5D-0D96-4565-84B0-B298015A4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457955</xdr:colOff>
      <xdr:row>1</xdr:row>
      <xdr:rowOff>361950</xdr:rowOff>
    </xdr:to>
    <xdr:pic>
      <xdr:nvPicPr>
        <xdr:cNvPr id="5" name="Picture 4" descr="FAI Modern Logo">
          <a:extLst>
            <a:ext uri="{FF2B5EF4-FFF2-40B4-BE49-F238E27FC236}">
              <a16:creationId xmlns:a16="http://schemas.microsoft.com/office/drawing/2014/main" id="{ED108783-8DD1-4040-AA1C-2E7C1929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9005" cy="723900"/>
        </a:xfrm>
        <a:prstGeom prst="rect">
          <a:avLst/>
        </a:prstGeom>
        <a:noFill/>
        <a:ln w="28575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EA173B-92F7-4830-9E8F-2DF20888CD28}" name="MasterTable" displayName="MasterTable" ref="A3:AQ52" totalsRowShown="0" headerRowDxfId="57" headerRowBorderDxfId="56" tableBorderDxfId="55">
  <autoFilter ref="A3:AQ52" xr:uid="{9124C872-1D6A-4759-AC6F-15F1F4C10F5F}"/>
  <sortState xmlns:xlrd2="http://schemas.microsoft.com/office/spreadsheetml/2017/richdata2" ref="A4:AQ46">
    <sortCondition ref="A3:A46"/>
  </sortState>
  <tableColumns count="43">
    <tableColumn id="1" xr3:uid="{1379F46E-51BD-462C-8EE3-7CE063A01577}" name="Quarter" dataDxfId="54"/>
    <tableColumn id="2" xr3:uid="{20CC24EC-6630-4F08-878B-5E15ABED462B}" name="All Total" dataDxfId="53">
      <calculatedColumnFormula>C4+D4</calculatedColumnFormula>
    </tableColumn>
    <tableColumn id="3" xr3:uid="{F5F7FC0B-1ADA-452E-98BA-F2944E262E18}" name="Civilian Agency Total" dataDxfId="52">
      <calculatedColumnFormula>F4+I4</calculatedColumnFormula>
    </tableColumn>
    <tableColumn id="4" xr3:uid="{9C2064E2-0D3C-4D31-B5F5-9307DEFC0559}" name="Dept. of Defense Total" dataDxfId="51">
      <calculatedColumnFormula>G4+J4</calculatedColumnFormula>
    </tableColumn>
    <tableColumn id="5" xr3:uid="{1DABF304-69F3-4158-85F5-1E5AA6D5A435}" name="1101 Total" dataDxfId="50"/>
    <tableColumn id="6" xr3:uid="{6E3B7955-22FD-4865-90BC-D5C894DE08CF}" name="1101 Civilian Agency Total" dataDxfId="49">
      <calculatedColumnFormula>E4-G4</calculatedColumnFormula>
    </tableColumn>
    <tableColumn id="7" xr3:uid="{93FE1E71-79D8-4729-BC50-D9E9DBC32EDA}" name="1101 Dept. of Defense Total" dataDxfId="48"/>
    <tableColumn id="8" xr3:uid="{5A1A535B-6348-46A3-8A09-41D40A914952}" name="1102 Total" dataDxfId="47"/>
    <tableColumn id="9" xr3:uid="{E71860C1-F028-4348-9722-682FD02A20FD}" name="1102 Civilian Agency Total" dataDxfId="46">
      <calculatedColumnFormula>H4-J4</calculatedColumnFormula>
    </tableColumn>
    <tableColumn id="10" xr3:uid="{813ACDD9-4FB0-432E-BA66-E06A7AE0DBF5}" name="1102 Dept. of Defense Total" dataDxfId="45"/>
    <tableColumn id="11" xr3:uid="{AFE6C968-4ED4-4411-A786-C2E2BBF00DE1}" name="Hire Total" dataDxfId="44"/>
    <tableColumn id="12" xr3:uid="{15C92FB8-DAF5-439C-AF18-0EDD4D8AA4ED}" name="Hire Rate" dataDxfId="43" dataCellStyle="Percent"/>
    <tableColumn id="13" xr3:uid="{F5669538-8C0E-4C68-8CED-D5377E7D12A3}" name="1101 Hire Total" dataDxfId="42"/>
    <tableColumn id="14" xr3:uid="{3C2CC2AD-E3DC-4ACB-A22C-4006972E1C8A}" name="1101 Hire Rate" dataDxfId="41" dataCellStyle="Percent"/>
    <tableColumn id="15" xr3:uid="{CCD44510-05BB-4BC3-8B6D-7CEC2E601A40}" name="1102 Hire Total" dataDxfId="40"/>
    <tableColumn id="16" xr3:uid="{B0B2A6CC-FAB6-4452-B0C7-470C3135CFBD}" name="1102 Hire Rate" dataDxfId="39" dataCellStyle="Percent"/>
    <tableColumn id="17" xr3:uid="{837544A1-1961-43FC-AB04-A1F9B82E3B42}" name="Loss Total" dataDxfId="38"/>
    <tableColumn id="18" xr3:uid="{36F5EA9A-7D44-4E76-A130-8065CFDD6A2E}" name="Loss Rate" dataDxfId="37" dataCellStyle="Percent"/>
    <tableColumn id="19" xr3:uid="{C50BD405-1CF6-4D24-AA54-F743CF5945A2}" name="1101 Loss Total" dataDxfId="36"/>
    <tableColumn id="20" xr3:uid="{CC38E2A6-54C6-41BA-8512-473F5E0D94DB}" name="1101 Loss Rate" dataDxfId="35" dataCellStyle="Percent"/>
    <tableColumn id="21" xr3:uid="{36094604-9AC7-4281-A7D4-442E40994817}" name="1102 Loss Total" dataDxfId="34"/>
    <tableColumn id="22" xr3:uid="{AFEE6591-0F6E-412B-98A0-E174E62A653D}" name="1102 Loss Rate" dataDxfId="33" dataCellStyle="Percent"/>
    <tableColumn id="23" xr3:uid="{69A47632-1D33-4EAA-9F7A-49014B6B04D0}" name="Net Change Total" dataDxfId="32"/>
    <tableColumn id="24" xr3:uid="{6CAE005A-ADC0-4D4C-9440-44C1F0C524B1}" name="1101 Net Change" dataDxfId="31"/>
    <tableColumn id="25" xr3:uid="{47CF5752-92DB-4709-9B9B-95683BA5B934}" name="1102 Net Change" dataDxfId="30"/>
    <tableColumn id="26" xr3:uid="{DD35A7CA-65ED-4A13-B940-A2C2D4545503}" name="Retire Total" dataDxfId="29"/>
    <tableColumn id="27" xr3:uid="{13CEEB5F-9551-4CC5-A0FD-11D16B10E231}" name="Retire Rate" dataDxfId="28" dataCellStyle="Percent"/>
    <tableColumn id="28" xr3:uid="{AC44A1C5-58C2-41F4-B6FD-ECECC34EE1AD}" name="1101 Retire Total" dataDxfId="27"/>
    <tableColumn id="29" xr3:uid="{AAB3A256-C354-4B0D-8669-5DE276521EE2}" name="1101 Retire Rate" dataDxfId="26" dataCellStyle="Percent"/>
    <tableColumn id="30" xr3:uid="{87E69016-EFB8-448F-8425-48716151E4E2}" name="1102 Retire Total" dataDxfId="25"/>
    <tableColumn id="31" xr3:uid="{8E54CCA4-B503-495C-811C-95140A21888B}" name="1102 Retire Rate" dataDxfId="24" dataCellStyle="Percent"/>
    <tableColumn id="32" xr3:uid="{B54D9BED-321C-4722-8F82-55933A4EAF63}" name="Transfer In Total" dataDxfId="23">
      <calculatedColumnFormula>AH4+AJ4</calculatedColumnFormula>
    </tableColumn>
    <tableColumn id="33" xr3:uid="{9CC91175-F64E-4CA2-B497-968F0F92D1EE}" name="Transfer In Rate" dataDxfId="22" dataCellStyle="Percent">
      <calculatedColumnFormula>AF4/W3</calculatedColumnFormula>
    </tableColumn>
    <tableColumn id="34" xr3:uid="{62B61193-7754-46E9-BA86-09BCD48D58F0}" name="1101 Transfer In Total" dataDxfId="21"/>
    <tableColumn id="35" xr3:uid="{10022B59-508B-4E73-A7AA-1B5ECDF4429D}" name="1101 Transfer In Rate" dataDxfId="20" dataCellStyle="Percent">
      <calculatedColumnFormula>AH4/Z3</calculatedColumnFormula>
    </tableColumn>
    <tableColumn id="36" xr3:uid="{EA0A3C83-C206-4910-8AE3-7698FA00ECA5}" name="1102 Transfer In Total" dataDxfId="19"/>
    <tableColumn id="37" xr3:uid="{42D4DAC0-4886-4FDB-8C1D-8744CFD7F067}" name="1102 Transfer In Rate" dataDxfId="18" dataCellStyle="Percent">
      <calculatedColumnFormula>AJ4/AC3</calculatedColumnFormula>
    </tableColumn>
    <tableColumn id="38" xr3:uid="{FA1FCA0A-BCF6-4876-B023-B70BC8A7AAC6}" name="Transfer Out Total" dataDxfId="17">
      <calculatedColumnFormula>AN4+AP4</calculatedColumnFormula>
    </tableColumn>
    <tableColumn id="39" xr3:uid="{D99ED497-0432-48DA-9105-96B2C3439C2C}" name="Transfer Out Rate" dataDxfId="16" dataCellStyle="Percent">
      <calculatedColumnFormula>AL4/W3</calculatedColumnFormula>
    </tableColumn>
    <tableColumn id="40" xr3:uid="{1C83CB85-2C4B-4530-988C-B87675EAFAF8}" name="1101 Transfer Out Total" dataDxfId="15"/>
    <tableColumn id="41" xr3:uid="{17497829-DFF2-4074-BBB4-21219C519981}" name="1101 Transfer Out Rate" dataDxfId="14" dataCellStyle="Percent">
      <calculatedColumnFormula>AN4/Z3</calculatedColumnFormula>
    </tableColumn>
    <tableColumn id="42" xr3:uid="{29408FED-2709-41E2-B2BB-3977E281C2BE}" name="1102 Transfer Out Total" dataDxfId="13"/>
    <tableColumn id="43" xr3:uid="{70DF85BC-3177-432D-BA3C-321DAD914F34}" name="1102 Transfer Out Rate" dataDxfId="12" dataCellStyle="Percent">
      <calculatedColumnFormula>AP4/AC3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dscope.opm.gov/datadefn/index.asp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fedscope.opm.gov/datadefn/index.asp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fedscope.opm.gov/datadefn/index.a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dscope.opm.gov/datadefn/index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edscope.opm.gov/datadefn/index.as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edscope.opm.gov/datadefn/index.as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edscope.opm.gov/datadefn/index.as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edscope.opm.gov/datadefn/index.as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fedscope.opm.gov/datadefn/index.asp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edscope.opm.gov/datadefn/index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6920-2C93-45BE-90EE-109D5D3F4CE5}">
  <dimension ref="A1:AJ54"/>
  <sheetViews>
    <sheetView showGridLines="0" showRowColHeaders="0" tabSelected="1" zoomScaleNormal="100" workbookViewId="0">
      <selection activeCell="E17" sqref="E17"/>
    </sheetView>
  </sheetViews>
  <sheetFormatPr defaultRowHeight="14.5" x14ac:dyDescent="0.35"/>
  <cols>
    <col min="1" max="1" width="5.7265625" customWidth="1"/>
    <col min="2" max="2" width="15.54296875" customWidth="1"/>
    <col min="3" max="5" width="17.26953125" customWidth="1"/>
    <col min="6" max="6" width="5.7265625" customWidth="1"/>
    <col min="7" max="7" width="22.7265625" customWidth="1"/>
  </cols>
  <sheetData>
    <row r="1" spans="1:36" s="29" customFormat="1" ht="28.5" x14ac:dyDescent="0.65">
      <c r="A1" s="103" t="s">
        <v>91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36" s="30" customFormat="1" ht="29" thickBot="1" x14ac:dyDescent="0.7">
      <c r="A2" s="104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36" s="23" customFormat="1" ht="18.5" x14ac:dyDescent="0.45">
      <c r="A3" s="120" t="s">
        <v>181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36" ht="18.5" x14ac:dyDescent="0.45">
      <c r="A4" s="16"/>
      <c r="B4" s="18"/>
      <c r="C4" s="18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25" customHeight="1" x14ac:dyDescent="0.35">
      <c r="A5" s="16"/>
      <c r="B5" s="121" t="s">
        <v>182</v>
      </c>
      <c r="C5" s="122"/>
      <c r="D5" s="122"/>
      <c r="E5" s="123"/>
      <c r="F5" s="20"/>
      <c r="G5" s="118" t="s">
        <v>175</v>
      </c>
      <c r="H5" s="114" t="s">
        <v>176</v>
      </c>
      <c r="I5" s="114"/>
      <c r="J5" s="114"/>
      <c r="K5" s="114"/>
      <c r="L5" s="114"/>
      <c r="M5" s="114"/>
      <c r="N5" s="114"/>
      <c r="O5" s="114"/>
      <c r="P5" s="114"/>
      <c r="Q5" s="11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ht="15" customHeight="1" x14ac:dyDescent="0.35">
      <c r="A6" s="16"/>
      <c r="B6" s="124"/>
      <c r="C6" s="105" t="s">
        <v>180</v>
      </c>
      <c r="D6" s="107" t="s">
        <v>70</v>
      </c>
      <c r="E6" s="109" t="s">
        <v>1</v>
      </c>
      <c r="F6" s="20"/>
      <c r="G6" s="119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30" customHeight="1" x14ac:dyDescent="0.35">
      <c r="A7" s="16"/>
      <c r="B7" s="125"/>
      <c r="C7" s="106"/>
      <c r="D7" s="108"/>
      <c r="E7" s="110"/>
      <c r="F7" s="20"/>
      <c r="G7" s="31" t="s">
        <v>89</v>
      </c>
      <c r="H7" s="126" t="s">
        <v>174</v>
      </c>
      <c r="I7" s="127"/>
      <c r="J7" s="127"/>
      <c r="K7" s="127"/>
      <c r="L7" s="127"/>
      <c r="M7" s="127"/>
      <c r="N7" s="127"/>
      <c r="O7" s="127"/>
      <c r="P7" s="127"/>
      <c r="Q7" s="128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ht="30" customHeight="1" x14ac:dyDescent="0.35">
      <c r="A8" s="16"/>
      <c r="B8" s="24" t="s">
        <v>71</v>
      </c>
      <c r="C8" s="7">
        <f>'Chart Data'!I52</f>
        <v>15685</v>
      </c>
      <c r="D8" s="7">
        <f>'Chart Data'!F52</f>
        <v>16306</v>
      </c>
      <c r="E8" s="8">
        <f>C8+D8</f>
        <v>31991</v>
      </c>
      <c r="F8" s="20"/>
      <c r="G8" s="6" t="s">
        <v>97</v>
      </c>
      <c r="H8" s="111" t="s">
        <v>164</v>
      </c>
      <c r="I8" s="112"/>
      <c r="J8" s="112"/>
      <c r="K8" s="112"/>
      <c r="L8" s="112"/>
      <c r="M8" s="112"/>
      <c r="N8" s="112"/>
      <c r="O8" s="112"/>
      <c r="P8" s="112"/>
      <c r="Q8" s="113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30" customHeight="1" x14ac:dyDescent="0.35">
      <c r="A9" s="16"/>
      <c r="B9" s="25" t="s">
        <v>85</v>
      </c>
      <c r="C9" s="8">
        <f>'Chart Data'!J52</f>
        <v>27713</v>
      </c>
      <c r="D9" s="8">
        <f>'Chart Data'!G52</f>
        <v>15070</v>
      </c>
      <c r="E9" s="8">
        <f>C9+D9</f>
        <v>42783</v>
      </c>
      <c r="F9" s="20"/>
      <c r="G9" s="6" t="s">
        <v>98</v>
      </c>
      <c r="H9" s="100" t="s">
        <v>165</v>
      </c>
      <c r="I9" s="101"/>
      <c r="J9" s="101"/>
      <c r="K9" s="101"/>
      <c r="L9" s="101"/>
      <c r="M9" s="101"/>
      <c r="N9" s="101"/>
      <c r="O9" s="101"/>
      <c r="P9" s="101"/>
      <c r="Q9" s="102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30" customHeight="1" x14ac:dyDescent="0.35">
      <c r="A10" s="16"/>
      <c r="B10" s="26" t="s">
        <v>184</v>
      </c>
      <c r="C10" s="32">
        <f>C8+C9</f>
        <v>43398</v>
      </c>
      <c r="D10" s="32">
        <f t="shared" ref="D10" si="0">D8+D9</f>
        <v>31376</v>
      </c>
      <c r="E10" s="32">
        <f>C10+D10</f>
        <v>74774</v>
      </c>
      <c r="F10" s="20"/>
      <c r="G10" s="6" t="s">
        <v>87</v>
      </c>
      <c r="H10" s="100" t="s">
        <v>166</v>
      </c>
      <c r="I10" s="101"/>
      <c r="J10" s="101"/>
      <c r="K10" s="101"/>
      <c r="L10" s="101"/>
      <c r="M10" s="101"/>
      <c r="N10" s="101"/>
      <c r="O10" s="101"/>
      <c r="P10" s="101"/>
      <c r="Q10" s="102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30" customHeight="1" x14ac:dyDescent="0.35">
      <c r="A11" s="16"/>
      <c r="B11" s="26" t="s">
        <v>72</v>
      </c>
      <c r="C11" s="33">
        <f>'Chart Data'!O52</f>
        <v>1116</v>
      </c>
      <c r="D11" s="33">
        <f>'Chart Data'!M52</f>
        <v>775</v>
      </c>
      <c r="E11" s="32">
        <f>C11+D11</f>
        <v>1891</v>
      </c>
      <c r="F11" s="20"/>
      <c r="G11" s="6" t="s">
        <v>88</v>
      </c>
      <c r="H11" s="100" t="s">
        <v>167</v>
      </c>
      <c r="I11" s="101"/>
      <c r="J11" s="101"/>
      <c r="K11" s="101"/>
      <c r="L11" s="101"/>
      <c r="M11" s="101"/>
      <c r="N11" s="101"/>
      <c r="O11" s="101"/>
      <c r="P11" s="101"/>
      <c r="Q11" s="102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30" customHeight="1" x14ac:dyDescent="0.35">
      <c r="A12" s="16"/>
      <c r="B12" s="24" t="s">
        <v>73</v>
      </c>
      <c r="C12" s="32">
        <f>'Chart Data'!U52</f>
        <v>515</v>
      </c>
      <c r="D12" s="33">
        <f>'Chart Data'!S52</f>
        <v>600</v>
      </c>
      <c r="E12" s="32">
        <f>C12+D12</f>
        <v>1115</v>
      </c>
      <c r="F12" s="20"/>
      <c r="G12" s="6" t="s">
        <v>81</v>
      </c>
      <c r="H12" s="100" t="s">
        <v>168</v>
      </c>
      <c r="I12" s="101"/>
      <c r="J12" s="101"/>
      <c r="K12" s="101"/>
      <c r="L12" s="101"/>
      <c r="M12" s="101"/>
      <c r="N12" s="101"/>
      <c r="O12" s="101"/>
      <c r="P12" s="101"/>
      <c r="Q12" s="102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ht="30" customHeight="1" x14ac:dyDescent="0.35">
      <c r="A13" s="16"/>
      <c r="B13" s="24" t="s">
        <v>74</v>
      </c>
      <c r="C13" s="10">
        <f>'Chart Data'!V52</f>
        <v>1.198343261355175E-2</v>
      </c>
      <c r="D13" s="10">
        <f>'Chart Data'!T52</f>
        <v>1.9285163281049112E-2</v>
      </c>
      <c r="E13" s="10">
        <f>'Chart Data'!R52</f>
        <v>1.504967066191556E-2</v>
      </c>
      <c r="F13" s="20"/>
      <c r="G13" s="6" t="s">
        <v>82</v>
      </c>
      <c r="H13" s="100" t="s">
        <v>169</v>
      </c>
      <c r="I13" s="101"/>
      <c r="J13" s="101"/>
      <c r="K13" s="101"/>
      <c r="L13" s="101"/>
      <c r="M13" s="101"/>
      <c r="N13" s="101"/>
      <c r="O13" s="101"/>
      <c r="P13" s="101"/>
      <c r="Q13" s="102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 ht="30" customHeight="1" x14ac:dyDescent="0.35">
      <c r="A14" s="16"/>
      <c r="B14" s="27" t="s">
        <v>75</v>
      </c>
      <c r="C14" s="8">
        <f>'Chart Data'!AD52</f>
        <v>322</v>
      </c>
      <c r="D14" s="8">
        <f>'Chart Data'!AB52</f>
        <v>324</v>
      </c>
      <c r="E14" s="9">
        <f>C14+D14</f>
        <v>646</v>
      </c>
      <c r="F14" s="20"/>
      <c r="G14" s="6" t="s">
        <v>83</v>
      </c>
      <c r="H14" s="100" t="s">
        <v>170</v>
      </c>
      <c r="I14" s="101"/>
      <c r="J14" s="101"/>
      <c r="K14" s="101"/>
      <c r="L14" s="101"/>
      <c r="M14" s="101"/>
      <c r="N14" s="101"/>
      <c r="O14" s="101"/>
      <c r="P14" s="101"/>
      <c r="Q14" s="102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ht="30" customHeight="1" x14ac:dyDescent="0.35">
      <c r="A15" s="16"/>
      <c r="B15" s="28" t="s">
        <v>3</v>
      </c>
      <c r="C15" s="33">
        <f>'Chart Data'!Y52</f>
        <v>601</v>
      </c>
      <c r="D15" s="33">
        <f>'Chart Data'!X52</f>
        <v>175</v>
      </c>
      <c r="E15" s="33">
        <f>'Chart Data'!W52</f>
        <v>776</v>
      </c>
      <c r="F15" s="20"/>
      <c r="G15" s="6" t="s">
        <v>158</v>
      </c>
      <c r="H15" s="100" t="s">
        <v>171</v>
      </c>
      <c r="I15" s="101"/>
      <c r="J15" s="101"/>
      <c r="K15" s="101"/>
      <c r="L15" s="101"/>
      <c r="M15" s="101"/>
      <c r="N15" s="101"/>
      <c r="O15" s="101"/>
      <c r="P15" s="101"/>
      <c r="Q15" s="102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30" customHeight="1" x14ac:dyDescent="0.35">
      <c r="A16" s="16"/>
      <c r="B16" s="16"/>
      <c r="C16" s="16"/>
      <c r="D16" s="16"/>
      <c r="E16" s="16"/>
      <c r="F16" s="16"/>
      <c r="G16" s="88" t="s">
        <v>84</v>
      </c>
      <c r="H16" s="100" t="s">
        <v>172</v>
      </c>
      <c r="I16" s="101"/>
      <c r="J16" s="101"/>
      <c r="K16" s="101"/>
      <c r="L16" s="101"/>
      <c r="M16" s="101"/>
      <c r="N16" s="101"/>
      <c r="O16" s="101"/>
      <c r="P16" s="101"/>
      <c r="Q16" s="102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30" customHeight="1" x14ac:dyDescent="0.35">
      <c r="A17" s="16"/>
      <c r="B17" s="16"/>
      <c r="C17" s="16"/>
      <c r="D17" s="16"/>
      <c r="E17" s="16"/>
      <c r="F17" s="16"/>
      <c r="G17" s="11" t="s">
        <v>159</v>
      </c>
      <c r="H17" s="97" t="s">
        <v>173</v>
      </c>
      <c r="I17" s="98"/>
      <c r="J17" s="98"/>
      <c r="K17" s="98"/>
      <c r="L17" s="98"/>
      <c r="M17" s="98"/>
      <c r="N17" s="98"/>
      <c r="O17" s="98"/>
      <c r="P17" s="98"/>
      <c r="Q17" s="99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18" x14ac:dyDescent="0.4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</sheetData>
  <mergeCells count="21">
    <mergeCell ref="H13:Q13"/>
    <mergeCell ref="A3:R3"/>
    <mergeCell ref="B5:E5"/>
    <mergeCell ref="B6:B7"/>
    <mergeCell ref="H7:Q7"/>
    <mergeCell ref="H17:Q17"/>
    <mergeCell ref="H16:Q16"/>
    <mergeCell ref="A1:R1"/>
    <mergeCell ref="A2:R2"/>
    <mergeCell ref="H15:Q15"/>
    <mergeCell ref="C6:C7"/>
    <mergeCell ref="D6:D7"/>
    <mergeCell ref="E6:E7"/>
    <mergeCell ref="H14:Q14"/>
    <mergeCell ref="H10:Q10"/>
    <mergeCell ref="H8:Q8"/>
    <mergeCell ref="H9:Q9"/>
    <mergeCell ref="H11:Q11"/>
    <mergeCell ref="H5:Q6"/>
    <mergeCell ref="G5:G6"/>
    <mergeCell ref="H12:Q12"/>
  </mergeCells>
  <phoneticPr fontId="2" type="noConversion"/>
  <hyperlinks>
    <hyperlink ref="G8" location="'GS-1101 Trend'!A1" display="GS-1101 Trend" xr:uid="{F4C3B84D-2D74-47C6-A914-D34BAE1A6B1C}"/>
    <hyperlink ref="G9" location="'GS-1102 Trend'!A1" display="GS-1102 Trend" xr:uid="{4050E39D-1D30-45B5-822F-8BFC54D5F4A8}"/>
    <hyperlink ref="G10" location="'1101 Personnel Actions'!A1" display="1101 Personnel Actions" xr:uid="{AF59473E-BFE7-44F8-9A75-5099AE3372B3}"/>
    <hyperlink ref="G11" location="'1102 Personnel Actions'!A1" display="1102 Personnel Actions" xr:uid="{CA459F6D-C03F-4CA0-AC29-B08E8B875FD5}"/>
    <hyperlink ref="G12" location="'Total Attrition'!A1" display="Total Attrition" xr:uid="{FADF494B-4B27-4834-A348-D2001D978878}"/>
    <hyperlink ref="G13" location="'Attrition by Retirement'!A1" display="Attrition by Retirement" xr:uid="{7D58936A-B419-4D3E-B8E9-FDFAA83D5BF1}"/>
    <hyperlink ref="G14" location="Accessions!A1" display="Accessions" xr:uid="{019AC541-8FEC-41C3-9E1E-E6FDBEBD211D}"/>
    <hyperlink ref="G16" location="'Historical Data'!A1" display="Historical Data" xr:uid="{40B26A24-D138-4A45-A93F-856531941F9F}"/>
    <hyperlink ref="G15" location="Transfers!A1" display="Transfers" xr:uid="{FEE44948-218B-4E6C-9B10-38462E5ED5FF}"/>
    <hyperlink ref="G17" r:id="rId1" xr:uid="{6CF60F62-0AF2-4C39-96B7-65FD4171ED46}"/>
  </hyperlinks>
  <pageMargins left="0.7" right="0.7" top="0.75" bottom="0.75" header="0.3" footer="0.3"/>
  <pageSetup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A13B-9A01-4010-AE55-8C1D8C4F313E}">
  <dimension ref="A1:AA41"/>
  <sheetViews>
    <sheetView showGridLines="0" showRowColHeaders="0" zoomScaleNormal="100" workbookViewId="0">
      <selection activeCell="Q30" sqref="Q30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126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44"/>
      <c r="C25" s="145"/>
      <c r="D25" s="54" t="s">
        <v>136</v>
      </c>
      <c r="E25" s="53" t="s">
        <v>137</v>
      </c>
      <c r="F25" s="55" t="s">
        <v>138</v>
      </c>
      <c r="G25" s="52" t="s">
        <v>139</v>
      </c>
      <c r="H25" s="52" t="s">
        <v>140</v>
      </c>
      <c r="I25" s="53" t="s">
        <v>141</v>
      </c>
      <c r="J25" s="54" t="s">
        <v>162</v>
      </c>
      <c r="K25" s="52" t="s">
        <v>163</v>
      </c>
      <c r="L25" s="52" t="s">
        <v>177</v>
      </c>
      <c r="M25" s="52" t="s">
        <v>178</v>
      </c>
      <c r="N25" s="52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69" t="s">
        <v>127</v>
      </c>
      <c r="C26" s="170"/>
      <c r="D26" s="57">
        <f>VLOOKUP(D25,'Chart Data'!$A:$AQ,11,FALSE)</f>
        <v>1596</v>
      </c>
      <c r="E26" s="57">
        <f>VLOOKUP(E25,'Chart Data'!$A:$AQ,11,FALSE)</f>
        <v>1493</v>
      </c>
      <c r="F26" s="57">
        <f>VLOOKUP(F25,'Chart Data'!$A:$AQ,11,FALSE)</f>
        <v>1940</v>
      </c>
      <c r="G26" s="57">
        <f>VLOOKUP(G25,'Chart Data'!$A:$AQ,11,FALSE)</f>
        <v>1314</v>
      </c>
      <c r="H26" s="57">
        <f>VLOOKUP(H25,'Chart Data'!$A:$AQ,11,FALSE)</f>
        <v>1901</v>
      </c>
      <c r="I26" s="57">
        <f>VLOOKUP(I25,'Chart Data'!$A:$AQ,11,FALSE)</f>
        <v>1616</v>
      </c>
      <c r="J26" s="57">
        <f>VLOOKUP(J25,'Chart Data'!$A:$AQ,11,FALSE)</f>
        <v>2037</v>
      </c>
      <c r="K26" s="57">
        <f>VLOOKUP(K25,'Chart Data'!$A:$AQ,11,FALSE)</f>
        <v>2043</v>
      </c>
      <c r="L26" s="57">
        <f>VLOOKUP(L25,'Chart Data'!$A:$AQ,11,FALSE)</f>
        <v>2183</v>
      </c>
      <c r="M26" s="57">
        <f>VLOOKUP(M25,'Chart Data'!$A:$AQ,11,FALSE)</f>
        <v>2085</v>
      </c>
      <c r="N26" s="57">
        <f>VLOOKUP(N25,'Chart Data'!$A:$AQ,11,FALSE)</f>
        <v>2610</v>
      </c>
      <c r="O26" s="57">
        <f>VLOOKUP(O25,'Chart Data'!$A:$AQ,11,FALSE)</f>
        <v>1891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69" t="s">
        <v>128</v>
      </c>
      <c r="C27" s="170"/>
      <c r="D27" s="58">
        <f>VLOOKUP(D25,'Chart Data'!$A:$AQ,12,FALSE)</f>
        <v>2.2550654195043377E-2</v>
      </c>
      <c r="E27" s="58">
        <f>VLOOKUP(E25,'Chart Data'!$A:$AQ,12,FALSE)</f>
        <v>2.1248132071443819E-2</v>
      </c>
      <c r="F27" s="58">
        <f>VLOOKUP(F25,'Chart Data'!$A:$AQ,12,FALSE)</f>
        <v>2.7605048593423168E-2</v>
      </c>
      <c r="G27" s="58">
        <f>VLOOKUP(G25,'Chart Data'!$A:$AQ,12,FALSE)</f>
        <v>1.8585572842998586E-2</v>
      </c>
      <c r="H27" s="58">
        <f>VLOOKUP(H25,'Chart Data'!$A:$AQ,12,FALSE)</f>
        <v>2.6850282485875707E-2</v>
      </c>
      <c r="I27" s="58">
        <f>VLOOKUP(I25,'Chart Data'!$A:$AQ,12,FALSE)</f>
        <v>2.296628957989881E-2</v>
      </c>
      <c r="J27" s="58">
        <f>VLOOKUP(J25,'Chart Data'!$A:$AQ,12,FALSE)</f>
        <v>2.8846562345110811E-2</v>
      </c>
      <c r="K27" s="58">
        <f>VLOOKUP(K25,'Chart Data'!$A:$AQ,12,FALSE)</f>
        <v>2.8636707689719942E-2</v>
      </c>
      <c r="L27" s="58">
        <f>VLOOKUP(L25,'Chart Data'!$A:$AQ,12,FALSE)</f>
        <v>3.0373441674087266E-2</v>
      </c>
      <c r="M27" s="58">
        <f>VLOOKUP(M25,'Chart Data'!$A:$AQ,12,FALSE)</f>
        <v>2.883179379390453E-2</v>
      </c>
      <c r="N27" s="58">
        <f>VLOOKUP(N25,'Chart Data'!$A:$AQ,12,FALSE)</f>
        <v>3.5731887629374078E-2</v>
      </c>
      <c r="O27" s="58">
        <f>VLOOKUP(O25,'Chart Data'!$A:$AQ,12,FALSE)</f>
        <v>2.5523701544109708E-2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46" t="s">
        <v>129</v>
      </c>
      <c r="C28" s="158"/>
      <c r="D28" s="57">
        <f>VLOOKUP(D25,'Chart Data'!$A:$AQ,13,FALSE)</f>
        <v>640</v>
      </c>
      <c r="E28" s="57">
        <f>VLOOKUP(E25,'Chart Data'!$A:$AQ,13,FALSE)</f>
        <v>676</v>
      </c>
      <c r="F28" s="57">
        <f>VLOOKUP(F25,'Chart Data'!$A:$AQ,13,FALSE)</f>
        <v>982</v>
      </c>
      <c r="G28" s="57">
        <f>VLOOKUP(G25,'Chart Data'!$A:$AQ,13,FALSE)</f>
        <v>631</v>
      </c>
      <c r="H28" s="57">
        <f>VLOOKUP(H25,'Chart Data'!$A:$AQ,13,FALSE)</f>
        <v>882</v>
      </c>
      <c r="I28" s="57">
        <f>VLOOKUP(I25,'Chart Data'!$A:$AQ,13,FALSE)</f>
        <v>686</v>
      </c>
      <c r="J28" s="57">
        <f>VLOOKUP(J25,'Chart Data'!$A:$AQ,13,FALSE)</f>
        <v>789</v>
      </c>
      <c r="K28" s="57">
        <f>VLOOKUP(K25,'Chart Data'!$A:$AQ,13,FALSE)</f>
        <v>912</v>
      </c>
      <c r="L28" s="57">
        <f>VLOOKUP(L25,'Chart Data'!$A:$AQ,13,FALSE)</f>
        <v>817</v>
      </c>
      <c r="M28" s="57">
        <f>VLOOKUP(M25,'Chart Data'!$A:$AQ,13,FALSE)</f>
        <v>682</v>
      </c>
      <c r="N28" s="57">
        <f>VLOOKUP(N25,'Chart Data'!$A:$AQ,13,FALSE)</f>
        <v>1026</v>
      </c>
      <c r="O28" s="57">
        <f>VLOOKUP(O25,'Chart Data'!$A:$AQ,13,FALSE)</f>
        <v>775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48" t="s">
        <v>130</v>
      </c>
      <c r="C29" s="156"/>
      <c r="D29" s="58">
        <f>VLOOKUP(D25,'Chart Data'!$A:$AQ,14,FALSE)</f>
        <v>2.0800832033281331E-2</v>
      </c>
      <c r="E29" s="58">
        <f>VLOOKUP(E25,'Chart Data'!$A:$AQ,14,FALSE)</f>
        <v>2.2421970877972736E-2</v>
      </c>
      <c r="F29" s="58">
        <f>VLOOKUP(F25,'Chart Data'!$A:$AQ,14,FALSE)</f>
        <v>3.2755170113408942E-2</v>
      </c>
      <c r="G29" s="58">
        <f>VLOOKUP(G25,'Chart Data'!$A:$AQ,14,FALSE)</f>
        <v>2.0976696253449022E-2</v>
      </c>
      <c r="H29" s="58">
        <f>VLOOKUP(H25,'Chart Data'!$A:$AQ,14,FALSE)</f>
        <v>2.9236276849642005E-2</v>
      </c>
      <c r="I29" s="58">
        <f>VLOOKUP(I25,'Chart Data'!$A:$AQ,14,FALSE)</f>
        <v>2.3038688876947877E-2</v>
      </c>
      <c r="J29" s="58">
        <f>VLOOKUP(J25,'Chart Data'!$A:$AQ,14,FALSE)</f>
        <v>2.6464964948176972E-2</v>
      </c>
      <c r="K29" s="58">
        <f>VLOOKUP(K25,'Chart Data'!$A:$AQ,14,FALSE)</f>
        <v>3.0432461292044848E-2</v>
      </c>
      <c r="L29" s="58">
        <f>VLOOKUP(L25,'Chart Data'!$A:$AQ,14,FALSE)</f>
        <v>2.6961026961026962E-2</v>
      </c>
      <c r="M29" s="58">
        <f>VLOOKUP(M25,'Chart Data'!$A:$AQ,14,FALSE)</f>
        <v>2.2303616979527766E-2</v>
      </c>
      <c r="N29" s="58">
        <f>VLOOKUP(N25,'Chart Data'!$A:$AQ,14,FALSE)</f>
        <v>3.3373450866864003E-2</v>
      </c>
      <c r="O29" s="58">
        <f>VLOOKUP(O25,'Chart Data'!$A:$AQ,14,FALSE)</f>
        <v>2.4910002571355103E-2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48" t="s">
        <v>131</v>
      </c>
      <c r="C30" s="156"/>
      <c r="D30" s="57">
        <f>VLOOKUP(D25,'Chart Data'!$A:$AQ,15,FALSE)</f>
        <v>956</v>
      </c>
      <c r="E30" s="57">
        <f>VLOOKUP(E25,'Chart Data'!$A:$AQ,15,FALSE)</f>
        <v>817</v>
      </c>
      <c r="F30" s="57">
        <f>VLOOKUP(F25,'Chart Data'!$A:$AQ,15,FALSE)</f>
        <v>958</v>
      </c>
      <c r="G30" s="57">
        <f>VLOOKUP(G25,'Chart Data'!$A:$AQ,15,FALSE)</f>
        <v>683</v>
      </c>
      <c r="H30" s="57">
        <f>VLOOKUP(H25,'Chart Data'!$A:$AQ,15,FALSE)</f>
        <v>1019</v>
      </c>
      <c r="I30" s="57">
        <f>VLOOKUP(I25,'Chart Data'!$A:$AQ,15,FALSE)</f>
        <v>930</v>
      </c>
      <c r="J30" s="57">
        <f>VLOOKUP(J25,'Chart Data'!$A:$AQ,15,FALSE)</f>
        <v>1248</v>
      </c>
      <c r="K30" s="57">
        <f>VLOOKUP(K25,'Chart Data'!$A:$AQ,15,FALSE)</f>
        <v>1131</v>
      </c>
      <c r="L30" s="57">
        <f>VLOOKUP(L25,'Chart Data'!$A:$AQ,15,FALSE)</f>
        <v>1366</v>
      </c>
      <c r="M30" s="57">
        <f>VLOOKUP(M25,'Chart Data'!$A:$AQ,15,FALSE)</f>
        <v>1403</v>
      </c>
      <c r="N30" s="57">
        <f>VLOOKUP(N25,'Chart Data'!$A:$AQ,15,FALSE)</f>
        <v>1584</v>
      </c>
      <c r="O30" s="57">
        <f>VLOOKUP(O25,'Chart Data'!$A:$AQ,15,FALSE)</f>
        <v>1116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67" t="s">
        <v>132</v>
      </c>
      <c r="C31" s="168"/>
      <c r="D31" s="58">
        <f>VLOOKUP(D25,'Chart Data'!$A:$AQ,16,FALSE)</f>
        <v>2.3896415537669351E-2</v>
      </c>
      <c r="E31" s="58">
        <f>VLOOKUP(E25,'Chart Data'!$A:$AQ,16,FALSE)</f>
        <v>2.0365938777545119E-2</v>
      </c>
      <c r="F31" s="58">
        <f>VLOOKUP(F25,'Chart Data'!$A:$AQ,16,FALSE)</f>
        <v>2.3773481896915402E-2</v>
      </c>
      <c r="G31" s="58">
        <f>VLOOKUP(G25,'Chart Data'!$A:$AQ,16,FALSE)</f>
        <v>1.681479110760974E-2</v>
      </c>
      <c r="H31" s="58">
        <f>VLOOKUP(H25,'Chart Data'!$A:$AQ,16,FALSE)</f>
        <v>2.5078755660563102E-2</v>
      </c>
      <c r="I31" s="58">
        <f>VLOOKUP(I25,'Chart Data'!$A:$AQ,16,FALSE)</f>
        <v>2.2913176308268453E-2</v>
      </c>
      <c r="J31" s="58">
        <f>VLOOKUP(J25,'Chart Data'!$A:$AQ,16,FALSE)</f>
        <v>3.0586735944316455E-2</v>
      </c>
      <c r="K31" s="58">
        <f>VLOOKUP(K25,'Chart Data'!$A:$AQ,16,FALSE)</f>
        <v>2.7336008121042199E-2</v>
      </c>
      <c r="L31" s="58">
        <f>VLOOKUP(L25,'Chart Data'!$A:$AQ,16,FALSE)</f>
        <v>3.2861026245519495E-2</v>
      </c>
      <c r="M31" s="58">
        <f>VLOOKUP(M25,'Chart Data'!$A:$AQ,16,FALSE)</f>
        <v>3.3614452058076574E-2</v>
      </c>
      <c r="N31" s="58">
        <f>VLOOKUP(N25,'Chart Data'!$A:$AQ,16,FALSE)</f>
        <v>3.7445923264225432E-2</v>
      </c>
      <c r="O31" s="58">
        <f>VLOOKUP(O25,'Chart Data'!$A:$AQ,16,FALSE)</f>
        <v>2.5967982129560686E-2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</sheetData>
  <mergeCells count="21">
    <mergeCell ref="B1:P1"/>
    <mergeCell ref="B2:P2"/>
    <mergeCell ref="B25:C25"/>
    <mergeCell ref="B26:C26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  <mergeCell ref="B27:C27"/>
    <mergeCell ref="B28:C28"/>
    <mergeCell ref="B29:C29"/>
    <mergeCell ref="B30:C30"/>
    <mergeCell ref="B31:C31"/>
  </mergeCells>
  <hyperlinks>
    <hyperlink ref="Q7" location="'GS-1101 Trend'!A1" display="GS-1101 Trend" xr:uid="{2462364E-8918-4FAD-A4A0-A72AC6C87459}"/>
    <hyperlink ref="Q9" location="'GS-1102 Trend'!A1" display="GS-1102 Trend" xr:uid="{2A630B8E-1B8C-4F19-B1A3-78A31F368BB2}"/>
    <hyperlink ref="Q11" location="'1101 Personnel Actions'!A1" display="1101 Personnel Actions" xr:uid="{6942131E-3ED4-46E8-9D71-332D243F62BF}"/>
    <hyperlink ref="Q13" location="'1102 Personnel Actions'!A1" display="1102 Personnel Actions" xr:uid="{45E2FBD9-8131-438A-B8DB-F5E15AC61FA4}"/>
    <hyperlink ref="Q15" location="'Total Attrition'!A1" display="Total Attrition" xr:uid="{3BD607A5-5CD3-4B49-8C10-A78F4E38C169}"/>
    <hyperlink ref="Q17" location="'Attrition by Retirement'!A1" display="Attrition by Retirement" xr:uid="{EBBD9810-A56B-43B7-9BB1-784134C47BED}"/>
    <hyperlink ref="Q19" location="Accessions!A1" display="Accessions" xr:uid="{4DBC0320-430E-4100-A80A-A5D79F69759B}"/>
    <hyperlink ref="Q5:S5" location="'Introduction Page'!A1" display="Return to the Main Page" xr:uid="{6C8CB901-FB5C-4873-9B80-F51917E72B3E}"/>
    <hyperlink ref="Q23" location="'Historical Data'!A1" display="Historical Data" xr:uid="{E74D4FAD-AFD0-460A-9E5D-490702E815B6}"/>
    <hyperlink ref="Q21:S21" location="Transfers!A1" display="Transfers" xr:uid="{7384BC37-7EBC-4FDC-97F4-064D879CC999}"/>
    <hyperlink ref="Q25:S25" r:id="rId1" display="https://www.fedscope.opm.gov/datadefn/index.asp" xr:uid="{EAE29139-B192-4957-92AE-DDF590114932}"/>
  </hyperlinks>
  <pageMargins left="0.7" right="0.7" top="0.75" bottom="0.75" header="0.3" footer="0.3"/>
  <pageSetup orientation="portrait" horizontalDpi="300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7CED-F2FF-4367-8771-203511760815}">
  <dimension ref="A1:AA88"/>
  <sheetViews>
    <sheetView showGridLines="0" showRowColHeaders="0" zoomScaleNormal="100" workbookViewId="0">
      <selection activeCell="V21" sqref="V21"/>
    </sheetView>
  </sheetViews>
  <sheetFormatPr defaultRowHeight="14.5" x14ac:dyDescent="0.35"/>
  <cols>
    <col min="1" max="1" width="5.54296875" style="16" customWidth="1"/>
    <col min="2" max="2" width="5.54296875" customWidth="1"/>
    <col min="4" max="15" width="8.726562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126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9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44"/>
      <c r="C25" s="145"/>
      <c r="D25" s="54" t="s">
        <v>136</v>
      </c>
      <c r="E25" s="53" t="s">
        <v>137</v>
      </c>
      <c r="F25" s="55" t="s">
        <v>138</v>
      </c>
      <c r="G25" s="52" t="s">
        <v>139</v>
      </c>
      <c r="H25" s="52" t="s">
        <v>140</v>
      </c>
      <c r="I25" s="53" t="s">
        <v>141</v>
      </c>
      <c r="J25" s="54" t="s">
        <v>162</v>
      </c>
      <c r="K25" s="52" t="s">
        <v>163</v>
      </c>
      <c r="L25" s="52" t="s">
        <v>177</v>
      </c>
      <c r="M25" s="52" t="s">
        <v>178</v>
      </c>
      <c r="N25" s="52" t="s">
        <v>179</v>
      </c>
      <c r="O25" s="56" t="s">
        <v>183</v>
      </c>
      <c r="P25" s="16"/>
      <c r="Q25" s="150" t="s">
        <v>160</v>
      </c>
      <c r="R25" s="151"/>
      <c r="S25" s="151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69" t="s">
        <v>156</v>
      </c>
      <c r="C26" s="170"/>
      <c r="D26" s="57">
        <f>VLOOKUP(D25,'Chart Data'!$A:$AQ,32,FALSE)</f>
        <v>334</v>
      </c>
      <c r="E26" s="57">
        <f>VLOOKUP(E25,'Chart Data'!$A:$AQ,32,FALSE)</f>
        <v>357</v>
      </c>
      <c r="F26" s="57">
        <f>VLOOKUP(F25,'Chart Data'!$A:$AQ,32,FALSE)</f>
        <v>344</v>
      </c>
      <c r="G26" s="57">
        <f>VLOOKUP(G25,'Chart Data'!$A:$AQ,32,FALSE)</f>
        <v>290</v>
      </c>
      <c r="H26" s="57">
        <f>VLOOKUP(H25,'Chart Data'!$A:$AQ,32,FALSE)</f>
        <v>330</v>
      </c>
      <c r="I26" s="57">
        <f>VLOOKUP(I25,'Chart Data'!$A:$AQ,32,FALSE)</f>
        <v>336</v>
      </c>
      <c r="J26" s="57">
        <f>VLOOKUP(J25,'Chart Data'!$A:$AQ,32,FALSE)</f>
        <v>630</v>
      </c>
      <c r="K26" s="57">
        <f>VLOOKUP(K25,'Chart Data'!$A:$AQ,32,FALSE)</f>
        <v>305</v>
      </c>
      <c r="L26" s="57">
        <f>VLOOKUP(L25,'Chart Data'!$A:$AQ,32,FALSE)</f>
        <v>375</v>
      </c>
      <c r="M26" s="57">
        <f>VLOOKUP(M25,'Chart Data'!$A:$AQ,32,FALSE)</f>
        <v>354</v>
      </c>
      <c r="N26" s="57">
        <f>VLOOKUP(N25,'Chart Data'!$A:$AQ,32,FALSE)</f>
        <v>354</v>
      </c>
      <c r="O26" s="57">
        <f>VLOOKUP(O25,'Chart Data'!$A:$AQ,32,FALSE)</f>
        <v>318</v>
      </c>
      <c r="P26" s="16"/>
      <c r="Q26" s="171"/>
      <c r="R26" s="171"/>
      <c r="S26" s="171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69" t="s">
        <v>157</v>
      </c>
      <c r="C27" s="173"/>
      <c r="D27" s="58">
        <f>VLOOKUP(D25,'Chart Data'!$A:$AQ,33,FALSE)</f>
        <v>4.7192471811682256E-3</v>
      </c>
      <c r="E27" s="58">
        <f>VLOOKUP(E25,'Chart Data'!$A:$AQ,33,FALSE)</f>
        <v>5.080765672810076E-3</v>
      </c>
      <c r="F27" s="58">
        <f>VLOOKUP(F25,'Chart Data'!$A:$AQ,33,FALSE)</f>
        <v>4.8949158330606028E-3</v>
      </c>
      <c r="G27" s="58">
        <f>VLOOKUP(G25,'Chart Data'!$A:$AQ,33,FALSE)</f>
        <v>4.1018387553041023E-3</v>
      </c>
      <c r="H27" s="58">
        <f>VLOOKUP(H25,'Chart Data'!$A:$AQ,33,FALSE)</f>
        <v>4.6610169491525426E-3</v>
      </c>
      <c r="I27" s="58">
        <f>VLOOKUP(I25,'Chart Data'!$A:$AQ,33,FALSE)</f>
        <v>4.7751691205730204E-3</v>
      </c>
      <c r="J27" s="58">
        <f>VLOOKUP(J25,'Chart Data'!$A:$AQ,33,FALSE)</f>
        <v>8.9216172201373647E-3</v>
      </c>
      <c r="K27" s="58">
        <f>VLOOKUP(K25,'Chart Data'!$A:$AQ,33,FALSE)</f>
        <v>4.2751815200022429E-3</v>
      </c>
      <c r="L27" s="58">
        <f>VLOOKUP(L25,'Chart Data'!$A:$AQ,33,FALSE)</f>
        <v>5.2176090828138909E-3</v>
      </c>
      <c r="M27" s="58">
        <f>VLOOKUP(M25,'Chart Data'!$A:$AQ,33,FALSE)</f>
        <v>4.8951822556557332E-3</v>
      </c>
      <c r="N27" s="58">
        <f>VLOOKUP(N25,'Chart Data'!$A:$AQ,33,FALSE)</f>
        <v>4.8463939543288981E-3</v>
      </c>
      <c r="O27" s="58">
        <f>VLOOKUP(O25,'Chart Data'!$A:$AQ,33,FALSE)</f>
        <v>4.2921930677032715E-3</v>
      </c>
      <c r="P27" s="16"/>
      <c r="Q27" s="171"/>
      <c r="R27" s="171"/>
      <c r="S27" s="171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48" t="s">
        <v>144</v>
      </c>
      <c r="C28" s="149"/>
      <c r="D28" s="57">
        <f>VLOOKUP(D25,'Chart Data'!$A:$AQ,34,FALSE)</f>
        <v>88</v>
      </c>
      <c r="E28" s="57">
        <f>VLOOKUP(E25,'Chart Data'!$A:$AQ,34,FALSE)</f>
        <v>91</v>
      </c>
      <c r="F28" s="57">
        <f>VLOOKUP(F25,'Chart Data'!$A:$AQ,34,FALSE)</f>
        <v>72</v>
      </c>
      <c r="G28" s="57">
        <f>VLOOKUP(G25,'Chart Data'!$A:$AQ,34,FALSE)</f>
        <v>53</v>
      </c>
      <c r="H28" s="57">
        <f>VLOOKUP(H25,'Chart Data'!$A:$AQ,34,FALSE)</f>
        <v>71</v>
      </c>
      <c r="I28" s="57">
        <f>VLOOKUP(I25,'Chart Data'!$A:$AQ,34,FALSE)</f>
        <v>80</v>
      </c>
      <c r="J28" s="57">
        <f>VLOOKUP(J25,'Chart Data'!$A:$AQ,34,FALSE)</f>
        <v>262</v>
      </c>
      <c r="K28" s="57">
        <f>VLOOKUP(K25,'Chart Data'!$A:$AQ,34,FALSE)</f>
        <v>78</v>
      </c>
      <c r="L28" s="57">
        <f>VLOOKUP(L25,'Chart Data'!$A:$AQ,34,FALSE)</f>
        <v>108</v>
      </c>
      <c r="M28" s="57">
        <f>VLOOKUP(M25,'Chart Data'!$A:$AQ,34,FALSE)</f>
        <v>82</v>
      </c>
      <c r="N28" s="57">
        <f>VLOOKUP(N25,'Chart Data'!$A:$AQ,34,FALSE)</f>
        <v>95</v>
      </c>
      <c r="O28" s="57">
        <f>VLOOKUP(O25,'Chart Data'!$A:$AQ,34,FALSE)</f>
        <v>86</v>
      </c>
      <c r="P28" s="16"/>
      <c r="Q28" s="171"/>
      <c r="R28" s="171"/>
      <c r="S28" s="171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48" t="s">
        <v>145</v>
      </c>
      <c r="C29" s="149"/>
      <c r="D29" s="58">
        <f>VLOOKUP(D25,'Chart Data'!$A:$AQ,35,FALSE)</f>
        <v>2.8601144045761829E-3</v>
      </c>
      <c r="E29" s="58">
        <f>VLOOKUP(E25,'Chart Data'!$A:$AQ,35,FALSE)</f>
        <v>3.018342233573253E-3</v>
      </c>
      <c r="F29" s="58">
        <f>VLOOKUP(F25,'Chart Data'!$A:$AQ,35,FALSE)</f>
        <v>2.401601067378252E-3</v>
      </c>
      <c r="G29" s="58">
        <f>VLOOKUP(G25,'Chart Data'!$A:$AQ,35,FALSE)</f>
        <v>1.7619095109870017E-3</v>
      </c>
      <c r="H29" s="58">
        <f>VLOOKUP(H25,'Chart Data'!$A:$AQ,35,FALSE)</f>
        <v>2.3534871386900027E-3</v>
      </c>
      <c r="I29" s="58">
        <f>VLOOKUP(I25,'Chart Data'!$A:$AQ,35,FALSE)</f>
        <v>2.6867275658248252E-3</v>
      </c>
      <c r="J29" s="58">
        <f>VLOOKUP(J25,'Chart Data'!$A:$AQ,35,FALSE)</f>
        <v>8.7881125683426688E-3</v>
      </c>
      <c r="K29" s="58">
        <f>VLOOKUP(K25,'Chart Data'!$A:$AQ,35,FALSE)</f>
        <v>2.6027762947143621E-3</v>
      </c>
      <c r="L29" s="58">
        <f>VLOOKUP(L25,'Chart Data'!$A:$AQ,35,FALSE)</f>
        <v>3.564003564003564E-3</v>
      </c>
      <c r="M29" s="58">
        <f>VLOOKUP(M25,'Chart Data'!$A:$AQ,35,FALSE)</f>
        <v>2.6816665576558309E-3</v>
      </c>
      <c r="N29" s="58">
        <f>VLOOKUP(N25,'Chart Data'!$A:$AQ,35,FALSE)</f>
        <v>3.0901343395244446E-3</v>
      </c>
      <c r="O29" s="58">
        <f>VLOOKUP(O25,'Chart Data'!$A:$AQ,35,FALSE)</f>
        <v>2.7642067369503726E-3</v>
      </c>
      <c r="P29" s="16"/>
      <c r="Q29" s="171"/>
      <c r="R29" s="171"/>
      <c r="S29" s="171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48" t="s">
        <v>146</v>
      </c>
      <c r="C30" s="149"/>
      <c r="D30" s="57">
        <f>VLOOKUP(D25,'Chart Data'!$A:$AQ,36,FALSE)</f>
        <v>246</v>
      </c>
      <c r="E30" s="57">
        <f>VLOOKUP(E25,'Chart Data'!$A:$AQ,36,FALSE)</f>
        <v>266</v>
      </c>
      <c r="F30" s="57">
        <f>VLOOKUP(F25,'Chart Data'!$A:$AQ,36,FALSE)</f>
        <v>272</v>
      </c>
      <c r="G30" s="57">
        <f>VLOOKUP(G25,'Chart Data'!$A:$AQ,36,FALSE)</f>
        <v>237</v>
      </c>
      <c r="H30" s="57">
        <f>VLOOKUP(H25,'Chart Data'!$A:$AQ,36,FALSE)</f>
        <v>259</v>
      </c>
      <c r="I30" s="57">
        <f>VLOOKUP(I25,'Chart Data'!$A:$AQ,36,FALSE)</f>
        <v>256</v>
      </c>
      <c r="J30" s="57">
        <f>VLOOKUP(J25,'Chart Data'!$A:$AQ,36,FALSE)</f>
        <v>368</v>
      </c>
      <c r="K30" s="57">
        <f>VLOOKUP(K25,'Chart Data'!$A:$AQ,36,FALSE)</f>
        <v>227</v>
      </c>
      <c r="L30" s="57">
        <f>VLOOKUP(L25,'Chart Data'!$A:$AQ,36,FALSE)</f>
        <v>267</v>
      </c>
      <c r="M30" s="57">
        <f>VLOOKUP(M25,'Chart Data'!$A:$AQ,36,FALSE)</f>
        <v>272</v>
      </c>
      <c r="N30" s="57">
        <f>VLOOKUP(N25,'Chart Data'!$A:$AQ,36,FALSE)</f>
        <v>259</v>
      </c>
      <c r="O30" s="57">
        <f>VLOOKUP(O25,'Chart Data'!$A:$AQ,36,FALSE)</f>
        <v>232</v>
      </c>
      <c r="P30" s="16"/>
      <c r="Q30" s="171"/>
      <c r="R30" s="171"/>
      <c r="S30" s="171"/>
      <c r="T30" s="16"/>
      <c r="U30" s="16"/>
      <c r="V30" s="16"/>
      <c r="W30" s="16"/>
      <c r="X30" s="16"/>
      <c r="Y30" s="16"/>
      <c r="Z30" s="16"/>
      <c r="AA30" s="16"/>
    </row>
    <row r="31" spans="2:27" ht="25" customHeight="1" thickBot="1" x14ac:dyDescent="0.4">
      <c r="B31" s="148" t="s">
        <v>147</v>
      </c>
      <c r="C31" s="149"/>
      <c r="D31" s="87">
        <f>VLOOKUP(D25,'Chart Data'!$A:$AQ,37,FALSE)</f>
        <v>6.1490776383542473E-3</v>
      </c>
      <c r="E31" s="87">
        <f>VLOOKUP(E25,'Chart Data'!$A:$AQ,37,FALSE)</f>
        <v>6.630770764782132E-3</v>
      </c>
      <c r="F31" s="87">
        <f>VLOOKUP(F25,'Chart Data'!$A:$AQ,37,FALSE)</f>
        <v>6.74988212522024E-3</v>
      </c>
      <c r="G31" s="87">
        <f>VLOOKUP(G25,'Chart Data'!$A:$AQ,37,FALSE)</f>
        <v>5.8347078953199238E-3</v>
      </c>
      <c r="H31" s="87">
        <f>VLOOKUP(H25,'Chart Data'!$A:$AQ,37,FALSE)</f>
        <v>6.3742862768261469E-3</v>
      </c>
      <c r="I31" s="87">
        <f>VLOOKUP(I25,'Chart Data'!$A:$AQ,37,FALSE)</f>
        <v>6.3072829407706714E-3</v>
      </c>
      <c r="J31" s="87">
        <f>VLOOKUP(J25,'Chart Data'!$A:$AQ,37,FALSE)</f>
        <v>9.0191657271702363E-3</v>
      </c>
      <c r="K31" s="87">
        <f>VLOOKUP(K25,'Chart Data'!$A:$AQ,37,FALSE)</f>
        <v>5.4865374389713346E-3</v>
      </c>
      <c r="L31" s="87">
        <f>VLOOKUP(L25,'Chart Data'!$A:$AQ,37,FALSE)</f>
        <v>6.4230556424258465E-3</v>
      </c>
      <c r="M31" s="87">
        <f>VLOOKUP(M25,'Chart Data'!$A:$AQ,37,FALSE)</f>
        <v>6.5168431645023723E-3</v>
      </c>
      <c r="N31" s="87">
        <f>VLOOKUP(N25,'Chart Data'!$A:$AQ,37,FALSE)</f>
        <v>6.1227866953499918E-3</v>
      </c>
      <c r="O31" s="87">
        <f>VLOOKUP(O25,'Chart Data'!$A:$AQ,37,FALSE)</f>
        <v>5.3983618763961284E-3</v>
      </c>
      <c r="P31" s="16"/>
      <c r="Q31" s="171"/>
      <c r="R31" s="171"/>
      <c r="S31" s="171"/>
      <c r="T31" s="16"/>
      <c r="U31" s="16"/>
      <c r="V31" s="16"/>
      <c r="W31" s="16"/>
      <c r="X31" s="16"/>
      <c r="Y31" s="16"/>
      <c r="Z31" s="16"/>
      <c r="AA31" s="16"/>
    </row>
    <row r="32" spans="2:27" ht="25" customHeight="1" x14ac:dyDescent="0.35">
      <c r="B32" s="148" t="s">
        <v>148</v>
      </c>
      <c r="C32" s="149"/>
      <c r="D32" s="86">
        <f>VLOOKUP(D25,'Chart Data'!$A:$AQ,38,FALSE)</f>
        <v>637</v>
      </c>
      <c r="E32" s="86">
        <f>VLOOKUP(E25,'Chart Data'!$A:$AQ,38,FALSE)</f>
        <v>630</v>
      </c>
      <c r="F32" s="86">
        <f>VLOOKUP(F25,'Chart Data'!$A:$AQ,38,FALSE)</f>
        <v>691</v>
      </c>
      <c r="G32" s="86">
        <f>VLOOKUP(G25,'Chart Data'!$A:$AQ,38,FALSE)</f>
        <v>613</v>
      </c>
      <c r="H32" s="86">
        <f>VLOOKUP(H25,'Chart Data'!$A:$AQ,38,FALSE)</f>
        <v>768</v>
      </c>
      <c r="I32" s="86">
        <f>VLOOKUP(I25,'Chart Data'!$A:$AQ,38,FALSE)</f>
        <v>732</v>
      </c>
      <c r="J32" s="86">
        <f>VLOOKUP(J25,'Chart Data'!$A:$AQ,38,FALSE)</f>
        <v>1006</v>
      </c>
      <c r="K32" s="86">
        <f>VLOOKUP(K25,'Chart Data'!$A:$AQ,38,FALSE)</f>
        <v>800</v>
      </c>
      <c r="L32" s="86">
        <f>VLOOKUP(L25,'Chart Data'!$A:$AQ,38,FALSE)</f>
        <v>717</v>
      </c>
      <c r="M32" s="86">
        <f>VLOOKUP(M25,'Chart Data'!$A:$AQ,38,FALSE)</f>
        <v>886</v>
      </c>
      <c r="N32" s="86">
        <f>VLOOKUP(N25,'Chart Data'!$A:$AQ,38,FALSE)</f>
        <v>862</v>
      </c>
      <c r="O32" s="86">
        <f>VLOOKUP(O25,'Chart Data'!$A:$AQ,38,FALSE)</f>
        <v>729</v>
      </c>
      <c r="P32" s="16"/>
      <c r="Q32" s="171"/>
      <c r="R32" s="171"/>
      <c r="S32" s="171"/>
      <c r="T32" s="16"/>
      <c r="U32" s="16"/>
      <c r="V32" s="16"/>
      <c r="W32" s="16"/>
      <c r="X32" s="16"/>
      <c r="Y32" s="16"/>
      <c r="Z32" s="16"/>
      <c r="AA32" s="16"/>
    </row>
    <row r="33" spans="2:27" ht="25" customHeight="1" x14ac:dyDescent="0.35">
      <c r="B33" s="148" t="s">
        <v>149</v>
      </c>
      <c r="C33" s="149"/>
      <c r="D33" s="58">
        <f>VLOOKUP(D25,'Chart Data'!$A:$AQ,39,FALSE)</f>
        <v>9.0004804024076644E-3</v>
      </c>
      <c r="E33" s="58">
        <f>VLOOKUP(E25,'Chart Data'!$A:$AQ,39,FALSE)</f>
        <v>8.9660570696648411E-3</v>
      </c>
      <c r="F33" s="58">
        <f>VLOOKUP(F25,'Chart Data'!$A:$AQ,39,FALSE)</f>
        <v>9.8325198855955722E-3</v>
      </c>
      <c r="G33" s="58">
        <f>VLOOKUP(G25,'Chart Data'!$A:$AQ,39,FALSE)</f>
        <v>8.670438472418671E-3</v>
      </c>
      <c r="H33" s="58">
        <f>VLOOKUP(H25,'Chart Data'!$A:$AQ,39,FALSE)</f>
        <v>1.0847457627118645E-2</v>
      </c>
      <c r="I33" s="58">
        <f>VLOOKUP(I25,'Chart Data'!$A:$AQ,39,FALSE)</f>
        <v>1.0403047012676936E-2</v>
      </c>
      <c r="J33" s="58">
        <f>VLOOKUP(J25,'Chart Data'!$A:$AQ,39,FALSE)</f>
        <v>1.4246264957870141E-2</v>
      </c>
      <c r="K33" s="58">
        <f>VLOOKUP(K25,'Chart Data'!$A:$AQ,39,FALSE)</f>
        <v>1.121359087213703E-2</v>
      </c>
      <c r="L33" s="58">
        <f>VLOOKUP(L25,'Chart Data'!$A:$AQ,39,FALSE)</f>
        <v>9.9760685663401599E-3</v>
      </c>
      <c r="M33" s="58">
        <f>VLOOKUP(M25,'Chart Data'!$A:$AQ,39,FALSE)</f>
        <v>1.2251783837601638E-2</v>
      </c>
      <c r="N33" s="58">
        <f>VLOOKUP(N25,'Chart Data'!$A:$AQ,39,FALSE)</f>
        <v>1.1801106182574886E-2</v>
      </c>
      <c r="O33" s="58">
        <f>VLOOKUP(O25,'Chart Data'!$A:$AQ,39,FALSE)</f>
        <v>9.8396501457725955E-3</v>
      </c>
      <c r="P33" s="16"/>
      <c r="Q33" s="16"/>
      <c r="R33" s="16"/>
      <c r="S33" s="85"/>
      <c r="T33" s="16"/>
      <c r="U33" s="16"/>
      <c r="V33" s="16"/>
      <c r="W33" s="16"/>
      <c r="X33" s="16"/>
      <c r="Y33" s="16"/>
      <c r="Z33" s="16"/>
      <c r="AA33" s="16"/>
    </row>
    <row r="34" spans="2:27" ht="25" customHeight="1" x14ac:dyDescent="0.35">
      <c r="B34" s="148" t="s">
        <v>150</v>
      </c>
      <c r="C34" s="149"/>
      <c r="D34" s="57">
        <f>VLOOKUP(D25,'Chart Data'!$A:$AQ,40,FALSE)</f>
        <v>125</v>
      </c>
      <c r="E34" s="57">
        <f>VLOOKUP(E25,'Chart Data'!$A:$AQ,40,FALSE)</f>
        <v>114</v>
      </c>
      <c r="F34" s="57">
        <f>VLOOKUP(F25,'Chart Data'!$A:$AQ,40,FALSE)</f>
        <v>136</v>
      </c>
      <c r="G34" s="57">
        <f>VLOOKUP(G25,'Chart Data'!$A:$AQ,40,FALSE)</f>
        <v>112</v>
      </c>
      <c r="H34" s="57">
        <f>VLOOKUP(H25,'Chart Data'!$A:$AQ,40,FALSE)</f>
        <v>148</v>
      </c>
      <c r="I34" s="57">
        <f>VLOOKUP(I25,'Chart Data'!$A:$AQ,40,FALSE)</f>
        <v>170</v>
      </c>
      <c r="J34" s="57">
        <f>VLOOKUP(J25,'Chart Data'!$A:$AQ,40,FALSE)</f>
        <v>285</v>
      </c>
      <c r="K34" s="57">
        <f>VLOOKUP(K25,'Chart Data'!$A:$AQ,40,FALSE)</f>
        <v>176</v>
      </c>
      <c r="L34" s="57">
        <f>VLOOKUP(L25,'Chart Data'!$A:$AQ,40,FALSE)</f>
        <v>168</v>
      </c>
      <c r="M34" s="57">
        <f>VLOOKUP(M25,'Chart Data'!$A:$AQ,40,FALSE)</f>
        <v>193</v>
      </c>
      <c r="N34" s="57">
        <f>VLOOKUP(N25,'Chart Data'!$A:$AQ,40,FALSE)</f>
        <v>203</v>
      </c>
      <c r="O34" s="57">
        <f>VLOOKUP(O25,'Chart Data'!$A:$AQ,40,FALSE)</f>
        <v>150</v>
      </c>
      <c r="P34" s="16"/>
      <c r="Q34" s="16"/>
      <c r="R34" s="16"/>
      <c r="S34" s="85"/>
      <c r="T34" s="16"/>
      <c r="U34" s="16"/>
      <c r="V34" s="16"/>
      <c r="W34" s="16"/>
      <c r="X34" s="16"/>
      <c r="Y34" s="16"/>
      <c r="Z34" s="16"/>
      <c r="AA34" s="16"/>
    </row>
    <row r="35" spans="2:27" ht="25" customHeight="1" x14ac:dyDescent="0.35">
      <c r="B35" s="148" t="s">
        <v>151</v>
      </c>
      <c r="C35" s="149"/>
      <c r="D35" s="58">
        <f>VLOOKUP(D25,'Chart Data'!$A:$AQ,41,FALSE)</f>
        <v>4.06266250650026E-3</v>
      </c>
      <c r="E35" s="58">
        <f>VLOOKUP(E25,'Chart Data'!$A:$AQ,41,FALSE)</f>
        <v>3.7812199409598991E-3</v>
      </c>
      <c r="F35" s="58">
        <f>VLOOKUP(F25,'Chart Data'!$A:$AQ,41,FALSE)</f>
        <v>4.5363575717144765E-3</v>
      </c>
      <c r="G35" s="58">
        <f>VLOOKUP(G25,'Chart Data'!$A:$AQ,41,FALSE)</f>
        <v>3.7232804760480038E-3</v>
      </c>
      <c r="H35" s="58">
        <f>VLOOKUP(H25,'Chart Data'!$A:$AQ,41,FALSE)</f>
        <v>4.9058605144523997E-3</v>
      </c>
      <c r="I35" s="58">
        <f>VLOOKUP(I25,'Chart Data'!$A:$AQ,41,FALSE)</f>
        <v>5.7092960773777535E-3</v>
      </c>
      <c r="J35" s="58">
        <f>VLOOKUP(J25,'Chart Data'!$A:$AQ,41,FALSE)</f>
        <v>9.5595880991513772E-3</v>
      </c>
      <c r="K35" s="58">
        <f>VLOOKUP(K25,'Chart Data'!$A:$AQ,41,FALSE)</f>
        <v>5.8729311265349705E-3</v>
      </c>
      <c r="L35" s="58">
        <f>VLOOKUP(L25,'Chart Data'!$A:$AQ,41,FALSE)</f>
        <v>5.544005544005544E-3</v>
      </c>
      <c r="M35" s="58">
        <f>VLOOKUP(M25,'Chart Data'!$A:$AQ,41,FALSE)</f>
        <v>6.3117273857021391E-3</v>
      </c>
      <c r="N35" s="58">
        <f>VLOOKUP(N25,'Chart Data'!$A:$AQ,41,FALSE)</f>
        <v>6.6031291676153922E-3</v>
      </c>
      <c r="O35" s="58">
        <f>VLOOKUP(O25,'Chart Data'!$A:$AQ,41,FALSE)</f>
        <v>4.821290820262278E-3</v>
      </c>
      <c r="P35" s="16"/>
      <c r="Q35" s="16"/>
      <c r="R35" s="16"/>
      <c r="S35" s="85"/>
      <c r="T35" s="16"/>
      <c r="U35" s="16"/>
      <c r="V35" s="16"/>
      <c r="W35" s="16"/>
      <c r="X35" s="16"/>
      <c r="Y35" s="16"/>
      <c r="Z35" s="16"/>
      <c r="AA35" s="16"/>
    </row>
    <row r="36" spans="2:27" ht="25" customHeight="1" x14ac:dyDescent="0.35">
      <c r="B36" s="148" t="s">
        <v>152</v>
      </c>
      <c r="C36" s="149"/>
      <c r="D36" s="57">
        <f>VLOOKUP(D25,'Chart Data'!$A:$AQ,42,FALSE)</f>
        <v>512</v>
      </c>
      <c r="E36" s="57">
        <f>VLOOKUP(E25,'Chart Data'!$A:$AQ,42,FALSE)</f>
        <v>516</v>
      </c>
      <c r="F36" s="57">
        <f>VLOOKUP(F25,'Chart Data'!$A:$AQ,42,FALSE)</f>
        <v>555</v>
      </c>
      <c r="G36" s="57">
        <f>VLOOKUP(G25,'Chart Data'!$A:$AQ,42,FALSE)</f>
        <v>501</v>
      </c>
      <c r="H36" s="57">
        <f>VLOOKUP(H25,'Chart Data'!$A:$AQ,42,FALSE)</f>
        <v>620</v>
      </c>
      <c r="I36" s="57">
        <f>VLOOKUP(I25,'Chart Data'!$A:$AQ,42,FALSE)</f>
        <v>562</v>
      </c>
      <c r="J36" s="57">
        <f>VLOOKUP(J25,'Chart Data'!$A:$AQ,42,FALSE)</f>
        <v>721</v>
      </c>
      <c r="K36" s="57">
        <f>VLOOKUP(K25,'Chart Data'!$A:$AQ,42,FALSE)</f>
        <v>624</v>
      </c>
      <c r="L36" s="57">
        <f>VLOOKUP(L25,'Chart Data'!$A:$AQ,42,FALSE)</f>
        <v>549</v>
      </c>
      <c r="M36" s="57">
        <f>VLOOKUP(M25,'Chart Data'!$A:$AQ,42,FALSE)</f>
        <v>693</v>
      </c>
      <c r="N36" s="57">
        <f>VLOOKUP(N25,'Chart Data'!$A:$AQ,42,FALSE)</f>
        <v>659</v>
      </c>
      <c r="O36" s="57">
        <f>VLOOKUP(O25,'Chart Data'!$A:$AQ,42,FALSE)</f>
        <v>579</v>
      </c>
      <c r="P36" s="16"/>
      <c r="Q36" s="16"/>
      <c r="R36" s="16"/>
      <c r="S36" s="85"/>
      <c r="T36" s="16"/>
      <c r="U36" s="16"/>
      <c r="V36" s="16"/>
      <c r="W36" s="16"/>
      <c r="X36" s="16"/>
      <c r="Y36" s="16"/>
      <c r="Z36" s="16"/>
      <c r="AA36" s="16"/>
    </row>
    <row r="37" spans="2:27" ht="25" customHeight="1" x14ac:dyDescent="0.35">
      <c r="B37" s="167" t="s">
        <v>153</v>
      </c>
      <c r="C37" s="172"/>
      <c r="D37" s="58">
        <f>VLOOKUP(D25,'Chart Data'!$A:$AQ,43,FALSE)</f>
        <v>1.2798080287956806E-2</v>
      </c>
      <c r="E37" s="58">
        <f>VLOOKUP(E25,'Chart Data'!$A:$AQ,43,FALSE)</f>
        <v>1.2862698175291655E-2</v>
      </c>
      <c r="F37" s="58">
        <f>VLOOKUP(F25,'Chart Data'!$A:$AQ,43,FALSE)</f>
        <v>1.377273742462218E-2</v>
      </c>
      <c r="G37" s="58">
        <f>VLOOKUP(G25,'Chart Data'!$A:$AQ,43,FALSE)</f>
        <v>1.2334129348334524E-2</v>
      </c>
      <c r="H37" s="58">
        <f>VLOOKUP(H25,'Chart Data'!$A:$AQ,43,FALSE)</f>
        <v>1.5258909234101201E-2</v>
      </c>
      <c r="I37" s="58">
        <f>VLOOKUP(I25,'Chart Data'!$A:$AQ,43,FALSE)</f>
        <v>1.3846457080910615E-2</v>
      </c>
      <c r="J37" s="58">
        <f>VLOOKUP(J25,'Chart Data'!$A:$AQ,43,FALSE)</f>
        <v>1.7670702416548209E-2</v>
      </c>
      <c r="K37" s="58">
        <f>VLOOKUP(K25,'Chart Data'!$A:$AQ,43,FALSE)</f>
        <v>1.5081935515057765E-2</v>
      </c>
      <c r="L37" s="58">
        <f>VLOOKUP(L25,'Chart Data'!$A:$AQ,43,FALSE)</f>
        <v>1.3206957107459887E-2</v>
      </c>
      <c r="M37" s="58">
        <f>VLOOKUP(M25,'Chart Data'!$A:$AQ,43,FALSE)</f>
        <v>1.6603574680147587E-2</v>
      </c>
      <c r="N37" s="58">
        <f>VLOOKUP(N25,'Chart Data'!$A:$AQ,43,FALSE)</f>
        <v>1.5578827923689748E-2</v>
      </c>
      <c r="O37" s="58">
        <f>VLOOKUP(O25,'Chart Data'!$A:$AQ,43,FALSE)</f>
        <v>1.3472635889798957E-2</v>
      </c>
      <c r="P37" s="16"/>
      <c r="Q37" s="16"/>
      <c r="R37" s="16"/>
      <c r="S37" s="85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85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x14ac:dyDescent="0.3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x14ac:dyDescent="0.3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x14ac:dyDescent="0.3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x14ac:dyDescent="0.3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x14ac:dyDescent="0.3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x14ac:dyDescent="0.3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x14ac:dyDescent="0.3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x14ac:dyDescent="0.3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x14ac:dyDescent="0.3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x14ac:dyDescent="0.3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x14ac:dyDescent="0.3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x14ac:dyDescent="0.3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x14ac:dyDescent="0.3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x14ac:dyDescent="0.3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2:26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2:26" x14ac:dyDescent="0.3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2:26" x14ac:dyDescent="0.3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2:26" x14ac:dyDescent="0.3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2:26" x14ac:dyDescent="0.3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2:26" x14ac:dyDescent="0.3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2:26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2:26" x14ac:dyDescent="0.3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2:26" x14ac:dyDescent="0.3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2:26" x14ac:dyDescent="0.3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2:26" x14ac:dyDescent="0.3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2:26" x14ac:dyDescent="0.3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2:26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2:26" x14ac:dyDescent="0.3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2:26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2:26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2:26" x14ac:dyDescent="0.3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2:26" x14ac:dyDescent="0.3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2:26" x14ac:dyDescent="0.3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2:26" x14ac:dyDescent="0.3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2:26" x14ac:dyDescent="0.3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2:26" x14ac:dyDescent="0.3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</sheetData>
  <mergeCells count="28">
    <mergeCell ref="Q21:S21"/>
    <mergeCell ref="B1:P1"/>
    <mergeCell ref="B2:P2"/>
    <mergeCell ref="Q3:S4"/>
    <mergeCell ref="Q5:S5"/>
    <mergeCell ref="Q7:S7"/>
    <mergeCell ref="Q9:S9"/>
    <mergeCell ref="Q11:S11"/>
    <mergeCell ref="Q13:S13"/>
    <mergeCell ref="Q15:S15"/>
    <mergeCell ref="Q17:S17"/>
    <mergeCell ref="Q19:S19"/>
    <mergeCell ref="Q26:S32"/>
    <mergeCell ref="B36:C36"/>
    <mergeCell ref="B37:C37"/>
    <mergeCell ref="Q23:S23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29:C29"/>
    <mergeCell ref="B30:C30"/>
    <mergeCell ref="Q25:S25"/>
  </mergeCells>
  <hyperlinks>
    <hyperlink ref="Q7" location="'GS-1101 Trend'!A1" display="GS-1101 Trend" xr:uid="{5AAE42C1-197D-4048-96D9-DDD73F9FECD6}"/>
    <hyperlink ref="Q9" location="'GS-1102 Trend'!A1" display="GS-1102 Trend" xr:uid="{4477F3AF-AC41-44D0-BF70-5B4960C8CA16}"/>
    <hyperlink ref="Q11" location="'1101 Personnel Actions'!A1" display="1101 Personnel Actions" xr:uid="{5AEC66F3-DF2A-4A36-8E6C-94FA87BFDFA3}"/>
    <hyperlink ref="Q13" location="'1102 Personnel Actions'!A1" display="1102 Personnel Actions" xr:uid="{9AA1CAF9-CAAD-4908-A2FB-1013610F4C10}"/>
    <hyperlink ref="Q15" location="'Total Attrition'!A1" display="Total Attrition" xr:uid="{15AA66CD-64D6-4DD2-90E3-7DCEEE89703D}"/>
    <hyperlink ref="Q17" location="'Attrition by Retirement'!A1" display="Attrition by Retirement" xr:uid="{9A24A803-7907-4737-BD00-96ABFABBE69D}"/>
    <hyperlink ref="Q19" location="Accessions!A1" display="Accessions" xr:uid="{CD9BE567-9F98-4F8A-B4EE-C85E5DBD5FEB}"/>
    <hyperlink ref="Q5:S5" location="'Introduction Page'!A1" display="Return to the Main Page" xr:uid="{98467A3E-8FBD-495E-94B3-4321F9510F80}"/>
    <hyperlink ref="Q23" location="'Historical Data'!A1" display="Historical Data" xr:uid="{03F6F96F-0AC5-4526-9DF8-4E970E2659BB}"/>
    <hyperlink ref="Q21:S21" location="Transfers!A1" display="Transfers" xr:uid="{9FC2ED3B-B63C-4F7E-86C2-DD4EB881B1CA}"/>
    <hyperlink ref="Q25:S25" r:id="rId1" display="https://www.fedscope.opm.gov/datadefn/index.asp" xr:uid="{87BF2A0E-11E3-41B4-9BF2-4FAA30E7C2F4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8DA2-E129-4B89-ACA3-5FE2B526008F}">
  <dimension ref="A1:BI103"/>
  <sheetViews>
    <sheetView showGridLines="0" zoomScaleNormal="100" workbookViewId="0">
      <pane ySplit="5" topLeftCell="A6" activePane="bottomLeft" state="frozen"/>
      <selection pane="bottomLeft" activeCell="F17" sqref="F17"/>
    </sheetView>
  </sheetViews>
  <sheetFormatPr defaultRowHeight="15.5" x14ac:dyDescent="0.35"/>
  <cols>
    <col min="1" max="1" width="11.1796875" style="78" customWidth="1"/>
    <col min="2" max="10" width="8.453125" customWidth="1"/>
    <col min="11" max="43" width="5.453125" customWidth="1"/>
  </cols>
  <sheetData>
    <row r="1" spans="1:61" s="29" customFormat="1" ht="28.5" customHeight="1" x14ac:dyDescent="0.65">
      <c r="A1" s="103" t="s">
        <v>69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29" t="s">
        <v>86</v>
      </c>
      <c r="T1" s="129"/>
      <c r="U1" s="129"/>
      <c r="V1" s="129"/>
      <c r="W1" s="131" t="s">
        <v>161</v>
      </c>
      <c r="X1" s="132"/>
      <c r="Y1" s="132"/>
      <c r="Z1" s="132"/>
      <c r="AA1" s="89"/>
      <c r="AB1" s="90"/>
      <c r="AC1" s="90"/>
      <c r="AD1" s="90"/>
    </row>
    <row r="2" spans="1:61" s="30" customFormat="1" ht="29" thickBot="1" x14ac:dyDescent="0.7">
      <c r="A2" s="104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30"/>
      <c r="T2" s="130"/>
      <c r="U2" s="130"/>
      <c r="V2" s="130"/>
      <c r="W2" s="133"/>
      <c r="X2" s="133"/>
      <c r="Y2" s="133"/>
      <c r="Z2" s="133"/>
      <c r="AA2" s="91"/>
      <c r="AB2" s="91"/>
      <c r="AC2" s="91"/>
      <c r="AD2" s="91"/>
    </row>
    <row r="3" spans="1:61" s="29" customFormat="1" ht="20.149999999999999" customHeight="1" x14ac:dyDescent="0.35">
      <c r="A3" s="136" t="s">
        <v>34</v>
      </c>
      <c r="B3" s="136" t="s">
        <v>0</v>
      </c>
      <c r="C3" s="136" t="s">
        <v>4</v>
      </c>
      <c r="D3" s="136" t="s">
        <v>76</v>
      </c>
      <c r="E3" s="134">
        <v>1101</v>
      </c>
      <c r="F3" s="134"/>
      <c r="G3" s="134"/>
      <c r="H3" s="134">
        <v>1102</v>
      </c>
      <c r="I3" s="134"/>
      <c r="J3" s="134"/>
      <c r="K3" s="134" t="s">
        <v>8</v>
      </c>
      <c r="L3" s="134"/>
      <c r="M3" s="134"/>
      <c r="N3" s="134"/>
      <c r="O3" s="134"/>
      <c r="P3" s="134"/>
      <c r="Q3" s="134" t="s">
        <v>9</v>
      </c>
      <c r="R3" s="134"/>
      <c r="S3" s="134"/>
      <c r="T3" s="134"/>
      <c r="U3" s="134"/>
      <c r="V3" s="134"/>
      <c r="W3" s="134" t="s">
        <v>3</v>
      </c>
      <c r="X3" s="134"/>
      <c r="Y3" s="134"/>
      <c r="Z3" s="134" t="s">
        <v>5</v>
      </c>
      <c r="AA3" s="134"/>
      <c r="AB3" s="134"/>
      <c r="AC3" s="134"/>
      <c r="AD3" s="134"/>
      <c r="AE3" s="134"/>
      <c r="AF3" s="134" t="s">
        <v>155</v>
      </c>
      <c r="AG3" s="134"/>
      <c r="AH3" s="134"/>
      <c r="AI3" s="134"/>
      <c r="AJ3" s="134"/>
      <c r="AK3" s="134"/>
      <c r="AL3" s="134" t="s">
        <v>154</v>
      </c>
      <c r="AM3" s="134"/>
      <c r="AN3" s="134"/>
      <c r="AO3" s="134"/>
      <c r="AP3" s="134"/>
      <c r="AQ3" s="134"/>
    </row>
    <row r="4" spans="1:61" s="29" customFormat="1" ht="13" customHeight="1" x14ac:dyDescent="0.35">
      <c r="A4" s="136"/>
      <c r="B4" s="136"/>
      <c r="C4" s="136"/>
      <c r="D4" s="136"/>
      <c r="E4" s="135" t="s">
        <v>1</v>
      </c>
      <c r="F4" s="135" t="s">
        <v>2</v>
      </c>
      <c r="G4" s="135" t="s">
        <v>85</v>
      </c>
      <c r="H4" s="135" t="s">
        <v>1</v>
      </c>
      <c r="I4" s="135" t="s">
        <v>2</v>
      </c>
      <c r="J4" s="135" t="s">
        <v>85</v>
      </c>
      <c r="K4" s="135" t="s">
        <v>1</v>
      </c>
      <c r="L4" s="135"/>
      <c r="M4" s="135">
        <v>1101</v>
      </c>
      <c r="N4" s="135"/>
      <c r="O4" s="135">
        <v>1102</v>
      </c>
      <c r="P4" s="135"/>
      <c r="Q4" s="135" t="s">
        <v>1</v>
      </c>
      <c r="R4" s="135"/>
      <c r="S4" s="135">
        <v>1101</v>
      </c>
      <c r="T4" s="135"/>
      <c r="U4" s="135">
        <v>1102</v>
      </c>
      <c r="V4" s="135"/>
      <c r="W4" s="135" t="s">
        <v>1</v>
      </c>
      <c r="X4" s="135">
        <v>1101</v>
      </c>
      <c r="Y4" s="135">
        <v>1102</v>
      </c>
      <c r="Z4" s="135" t="s">
        <v>1</v>
      </c>
      <c r="AA4" s="135"/>
      <c r="AB4" s="135">
        <v>1101</v>
      </c>
      <c r="AC4" s="135"/>
      <c r="AD4" s="135">
        <v>1102</v>
      </c>
      <c r="AE4" s="135"/>
      <c r="AF4" s="135" t="s">
        <v>1</v>
      </c>
      <c r="AG4" s="135"/>
      <c r="AH4" s="135">
        <v>1101</v>
      </c>
      <c r="AI4" s="135"/>
      <c r="AJ4" s="135">
        <v>1102</v>
      </c>
      <c r="AK4" s="135"/>
      <c r="AL4" s="135" t="s">
        <v>1</v>
      </c>
      <c r="AM4" s="135"/>
      <c r="AN4" s="135">
        <v>1101</v>
      </c>
      <c r="AO4" s="135"/>
      <c r="AP4" s="135">
        <v>1102</v>
      </c>
      <c r="AQ4" s="135"/>
    </row>
    <row r="5" spans="1:61" s="29" customFormat="1" ht="13" customHeight="1" thickBot="1" x14ac:dyDescent="0.4">
      <c r="A5" s="137"/>
      <c r="B5" s="137"/>
      <c r="C5" s="137"/>
      <c r="D5" s="137"/>
      <c r="E5" s="138"/>
      <c r="F5" s="138"/>
      <c r="G5" s="138"/>
      <c r="H5" s="138"/>
      <c r="I5" s="138"/>
      <c r="J5" s="138"/>
      <c r="K5" s="34" t="s">
        <v>6</v>
      </c>
      <c r="L5" s="34" t="s">
        <v>7</v>
      </c>
      <c r="M5" s="34" t="s">
        <v>6</v>
      </c>
      <c r="N5" s="34" t="s">
        <v>7</v>
      </c>
      <c r="O5" s="34" t="s">
        <v>6</v>
      </c>
      <c r="P5" s="34" t="s">
        <v>7</v>
      </c>
      <c r="Q5" s="34" t="s">
        <v>6</v>
      </c>
      <c r="R5" s="34" t="s">
        <v>7</v>
      </c>
      <c r="S5" s="34" t="s">
        <v>6</v>
      </c>
      <c r="T5" s="34" t="s">
        <v>7</v>
      </c>
      <c r="U5" s="34" t="s">
        <v>6</v>
      </c>
      <c r="V5" s="34" t="s">
        <v>7</v>
      </c>
      <c r="W5" s="138"/>
      <c r="X5" s="138"/>
      <c r="Y5" s="138"/>
      <c r="Z5" s="34" t="s">
        <v>6</v>
      </c>
      <c r="AA5" s="34" t="s">
        <v>7</v>
      </c>
      <c r="AB5" s="34" t="s">
        <v>6</v>
      </c>
      <c r="AC5" s="34" t="s">
        <v>7</v>
      </c>
      <c r="AD5" s="34" t="s">
        <v>6</v>
      </c>
      <c r="AE5" s="34" t="s">
        <v>7</v>
      </c>
      <c r="AF5" s="34" t="s">
        <v>6</v>
      </c>
      <c r="AG5" s="34" t="s">
        <v>7</v>
      </c>
      <c r="AH5" s="34" t="s">
        <v>6</v>
      </c>
      <c r="AI5" s="34" t="s">
        <v>7</v>
      </c>
      <c r="AJ5" s="34" t="s">
        <v>6</v>
      </c>
      <c r="AK5" s="34" t="s">
        <v>7</v>
      </c>
      <c r="AL5" s="34" t="s">
        <v>6</v>
      </c>
      <c r="AM5" s="34" t="s">
        <v>7</v>
      </c>
      <c r="AN5" s="34" t="s">
        <v>6</v>
      </c>
      <c r="AO5" s="34" t="s">
        <v>7</v>
      </c>
      <c r="AP5" s="34" t="s">
        <v>6</v>
      </c>
      <c r="AQ5" s="34" t="s">
        <v>7</v>
      </c>
    </row>
    <row r="6" spans="1:61" s="29" customFormat="1" ht="20.149999999999999" customHeight="1" x14ac:dyDescent="0.35">
      <c r="A6" s="79" t="s">
        <v>183</v>
      </c>
      <c r="B6" s="38">
        <f>VLOOKUP($A6,MasterTable[],B$103,FALSE)</f>
        <v>74774</v>
      </c>
      <c r="C6" s="65">
        <f>VLOOKUP($A6,MasterTable[],C$103,FALSE)</f>
        <v>31991</v>
      </c>
      <c r="D6" s="65">
        <f>VLOOKUP($A6,MasterTable[],D$103,FALSE)</f>
        <v>42783</v>
      </c>
      <c r="E6" s="38">
        <f>VLOOKUP($A6,MasterTable[],E$103,FALSE)</f>
        <v>31376</v>
      </c>
      <c r="F6" s="65">
        <f>VLOOKUP($A6,MasterTable[],F$103,FALSE)</f>
        <v>16306</v>
      </c>
      <c r="G6" s="65">
        <f>VLOOKUP($A6,MasterTable[],G$103,FALSE)</f>
        <v>15070</v>
      </c>
      <c r="H6" s="38">
        <f>VLOOKUP($A6,MasterTable[],H$103,FALSE)</f>
        <v>43398</v>
      </c>
      <c r="I6" s="65">
        <f>VLOOKUP($A6,MasterTable[],I$103,FALSE)</f>
        <v>15685</v>
      </c>
      <c r="J6" s="65">
        <f>VLOOKUP($A6,MasterTable[],J$103,FALSE)</f>
        <v>27713</v>
      </c>
      <c r="K6" s="41">
        <f>VLOOKUP($A6,MasterTable[],K$103,FALSE)</f>
        <v>1891</v>
      </c>
      <c r="L6" s="66">
        <f>VLOOKUP($A6,MasterTable[],L$103,FALSE)</f>
        <v>2.5523701544109708E-2</v>
      </c>
      <c r="M6" s="41">
        <f>VLOOKUP($A6,MasterTable[],M$103,FALSE)</f>
        <v>775</v>
      </c>
      <c r="N6" s="66">
        <f>VLOOKUP($A6,MasterTable[],N$103,FALSE)</f>
        <v>2.4910002571355103E-2</v>
      </c>
      <c r="O6" s="41">
        <f>VLOOKUP($A6,MasterTable[],O$103,FALSE)</f>
        <v>1116</v>
      </c>
      <c r="P6" s="66">
        <f>VLOOKUP($A6,MasterTable[],P$103,FALSE)</f>
        <v>2.5967982129560686E-2</v>
      </c>
      <c r="Q6" s="41">
        <f>VLOOKUP($A6,MasterTable[],Q$103,FALSE)</f>
        <v>1115</v>
      </c>
      <c r="R6" s="66">
        <f>VLOOKUP($A6,MasterTable[],R$103,FALSE)</f>
        <v>1.504967066191556E-2</v>
      </c>
      <c r="S6" s="41">
        <f>VLOOKUP($A6,MasterTable[],S$103,FALSE)</f>
        <v>600</v>
      </c>
      <c r="T6" s="66">
        <f>VLOOKUP($A6,MasterTable[],T$103,FALSE)</f>
        <v>1.9285163281049112E-2</v>
      </c>
      <c r="U6" s="41">
        <f>VLOOKUP($A6,MasterTable[],U$103,FALSE)</f>
        <v>515</v>
      </c>
      <c r="V6" s="66">
        <f>VLOOKUP($A6,MasterTable[],V$103,FALSE)</f>
        <v>1.198343261355175E-2</v>
      </c>
      <c r="W6" s="64">
        <f>VLOOKUP($A6,MasterTable[],W$103,FALSE)</f>
        <v>776</v>
      </c>
      <c r="X6" s="64">
        <f>VLOOKUP($A6,MasterTable[],X$103,FALSE)</f>
        <v>175</v>
      </c>
      <c r="Y6" s="64">
        <f>VLOOKUP($A6,MasterTable[],Y$103,FALSE)</f>
        <v>601</v>
      </c>
      <c r="Z6" s="41">
        <f>VLOOKUP($A6,MasterTable[],Z$103,FALSE)</f>
        <v>646</v>
      </c>
      <c r="AA6" s="66">
        <f>VLOOKUP($A6,MasterTable[],AA$103,FALSE)</f>
        <v>8.7193607601770869E-3</v>
      </c>
      <c r="AB6" s="41">
        <f>VLOOKUP($A6,MasterTable[],AB$103,FALSE)</f>
        <v>324</v>
      </c>
      <c r="AC6" s="66">
        <f>VLOOKUP($A6,MasterTable[],AC$103,FALSE)</f>
        <v>1.041398817176652E-2</v>
      </c>
      <c r="AD6" s="41">
        <f>VLOOKUP($A6,MasterTable[],AD$103,FALSE)</f>
        <v>322</v>
      </c>
      <c r="AE6" s="66">
        <f>VLOOKUP($A6,MasterTable[],AE$103,FALSE)</f>
        <v>7.4925539836187636E-3</v>
      </c>
      <c r="AF6" s="41">
        <f>VLOOKUP($A6,MasterTable[],AF$103,FALSE)</f>
        <v>318</v>
      </c>
      <c r="AG6" s="66">
        <f>VLOOKUP($A6,MasterTable[],AG$103,FALSE)</f>
        <v>4.2921930677032715E-3</v>
      </c>
      <c r="AH6" s="41">
        <f>VLOOKUP($A6,MasterTable[],AH$103,FALSE)</f>
        <v>86</v>
      </c>
      <c r="AI6" s="66">
        <f>VLOOKUP($A6,MasterTable[],AI$103,FALSE)</f>
        <v>2.7642067369503726E-3</v>
      </c>
      <c r="AJ6" s="41">
        <f>VLOOKUP($A6,MasterTable[],AJ$103,FALSE)</f>
        <v>232</v>
      </c>
      <c r="AK6" s="66">
        <f>VLOOKUP($A6,MasterTable[],AK$103,FALSE)</f>
        <v>5.3983618763961284E-3</v>
      </c>
      <c r="AL6" s="41">
        <f>VLOOKUP($A6,MasterTable[],AL$103,FALSE)</f>
        <v>729</v>
      </c>
      <c r="AM6" s="66">
        <f>VLOOKUP($A6,MasterTable[],AM$103,FALSE)</f>
        <v>9.8396501457725955E-3</v>
      </c>
      <c r="AN6" s="41">
        <f>VLOOKUP($A6,MasterTable[],AN$103,FALSE)</f>
        <v>150</v>
      </c>
      <c r="AO6" s="66">
        <f>VLOOKUP($A6,MasterTable[],AO$103,FALSE)</f>
        <v>4.821290820262278E-3</v>
      </c>
      <c r="AP6" s="41">
        <f>VLOOKUP($A6,MasterTable[],AP$103,FALSE)</f>
        <v>579</v>
      </c>
      <c r="AQ6" s="66">
        <f>VLOOKUP($A6,MasterTable[],AQ$103,FALSE)</f>
        <v>1.3472635889798957E-2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</row>
    <row r="7" spans="1:61" s="29" customFormat="1" ht="20.149999999999999" customHeight="1" x14ac:dyDescent="0.35">
      <c r="A7" s="79" t="s">
        <v>179</v>
      </c>
      <c r="B7" s="38">
        <f>VLOOKUP($A7,MasterTable[],B$103,FALSE)</f>
        <v>74088</v>
      </c>
      <c r="C7" s="65">
        <f>VLOOKUP($A7,MasterTable[],C$103,FALSE)</f>
        <v>31563</v>
      </c>
      <c r="D7" s="65">
        <f>VLOOKUP($A7,MasterTable[],D$103,FALSE)</f>
        <v>42525</v>
      </c>
      <c r="E7" s="38">
        <f>VLOOKUP($A7,MasterTable[],E$103,FALSE)</f>
        <v>31112</v>
      </c>
      <c r="F7" s="65">
        <f>VLOOKUP($A7,MasterTable[],F$103,FALSE)</f>
        <v>16190</v>
      </c>
      <c r="G7" s="65">
        <f>VLOOKUP($A7,MasterTable[],G$103,FALSE)</f>
        <v>14922</v>
      </c>
      <c r="H7" s="38">
        <f>VLOOKUP($A7,MasterTable[],H$103,FALSE)</f>
        <v>42976</v>
      </c>
      <c r="I7" s="65">
        <f>VLOOKUP($A7,MasterTable[],I$103,FALSE)</f>
        <v>15373</v>
      </c>
      <c r="J7" s="65">
        <f>VLOOKUP($A7,MasterTable[],J$103,FALSE)</f>
        <v>27603</v>
      </c>
      <c r="K7" s="41">
        <f>VLOOKUP($A7,MasterTable[],K$103,FALSE)</f>
        <v>2610</v>
      </c>
      <c r="L7" s="66">
        <f>VLOOKUP($A7,MasterTable[],L$103,FALSE)</f>
        <v>3.5731887629374078E-2</v>
      </c>
      <c r="M7" s="41">
        <f>VLOOKUP($A7,MasterTable[],M$103,FALSE)</f>
        <v>1026</v>
      </c>
      <c r="N7" s="66">
        <f>VLOOKUP($A7,MasterTable[],N$103,FALSE)</f>
        <v>3.3373450866864003E-2</v>
      </c>
      <c r="O7" s="41">
        <f>VLOOKUP($A7,MasterTable[],O$103,FALSE)</f>
        <v>1584</v>
      </c>
      <c r="P7" s="66">
        <f>VLOOKUP($A7,MasterTable[],P$103,FALSE)</f>
        <v>3.7445923264225432E-2</v>
      </c>
      <c r="Q7" s="41">
        <f>VLOOKUP($A7,MasterTable[],Q$103,FALSE)</f>
        <v>1034</v>
      </c>
      <c r="R7" s="66">
        <f>VLOOKUP($A7,MasterTable[],R$103,FALSE)</f>
        <v>1.4155851267729041E-2</v>
      </c>
      <c r="S7" s="41">
        <f>VLOOKUP($A7,MasterTable[],S$103,FALSE)</f>
        <v>627</v>
      </c>
      <c r="T7" s="66">
        <f>VLOOKUP($A7,MasterTable[],T$103,FALSE)</f>
        <v>2.0394886640861334E-2</v>
      </c>
      <c r="U7" s="41">
        <f>VLOOKUP($A7,MasterTable[],U$103,FALSE)</f>
        <v>407</v>
      </c>
      <c r="V7" s="66">
        <f>VLOOKUP($A7,MasterTable[],V$103,FALSE)</f>
        <v>9.6215219498357006E-3</v>
      </c>
      <c r="W7" s="64">
        <f>VLOOKUP($A7,MasterTable[],W$103,FALSE)</f>
        <v>1576</v>
      </c>
      <c r="X7" s="64">
        <f>VLOOKUP($A7,MasterTable[],X$103,FALSE)</f>
        <v>399</v>
      </c>
      <c r="Y7" s="64">
        <f>VLOOKUP($A7,MasterTable[],Y$103,FALSE)</f>
        <v>1177</v>
      </c>
      <c r="Z7" s="41">
        <f>VLOOKUP($A7,MasterTable[],Z$103,FALSE)</f>
        <v>367</v>
      </c>
      <c r="AA7" s="66">
        <f>VLOOKUP($A7,MasterTable[],AA$103,FALSE)</f>
        <v>5.0243688735556648E-3</v>
      </c>
      <c r="AB7" s="41">
        <f>VLOOKUP($A7,MasterTable[],AB$103,FALSE)</f>
        <v>204</v>
      </c>
      <c r="AC7" s="66">
        <f>VLOOKUP($A7,MasterTable[],AC$103,FALSE)</f>
        <v>6.6356568975051234E-3</v>
      </c>
      <c r="AD7" s="41">
        <f>VLOOKUP($A7,MasterTable[],AD$103,FALSE)</f>
        <v>163</v>
      </c>
      <c r="AE7" s="66">
        <f>VLOOKUP($A7,MasterTable[],AE$103,FALSE)</f>
        <v>3.8533368005484502E-3</v>
      </c>
      <c r="AF7" s="41">
        <f>VLOOKUP($A7,MasterTable[],AF$103,FALSE)</f>
        <v>354</v>
      </c>
      <c r="AG7" s="66">
        <f>VLOOKUP($A7,MasterTable[],AG$103,FALSE)</f>
        <v>4.8463939543288981E-3</v>
      </c>
      <c r="AH7" s="41">
        <f>VLOOKUP($A7,MasterTable[],AH$103,FALSE)</f>
        <v>95</v>
      </c>
      <c r="AI7" s="66">
        <f>VLOOKUP($A7,MasterTable[],AI$103,FALSE)</f>
        <v>3.0901343395244446E-3</v>
      </c>
      <c r="AJ7" s="41">
        <f>VLOOKUP($A7,MasterTable[],AJ$103,FALSE)</f>
        <v>259</v>
      </c>
      <c r="AK7" s="66">
        <f>VLOOKUP($A7,MasterTable[],AK$103,FALSE)</f>
        <v>6.1227866953499918E-3</v>
      </c>
      <c r="AL7" s="41">
        <f>VLOOKUP($A7,MasterTable[],AL$103,FALSE)</f>
        <v>862</v>
      </c>
      <c r="AM7" s="66">
        <f>VLOOKUP($A7,MasterTable[],AM$103,FALSE)</f>
        <v>1.1801106182574886E-2</v>
      </c>
      <c r="AN7" s="41">
        <f>VLOOKUP($A7,MasterTable[],AN$103,FALSE)</f>
        <v>203</v>
      </c>
      <c r="AO7" s="66">
        <f>VLOOKUP($A7,MasterTable[],AO$103,FALSE)</f>
        <v>6.6031291676153922E-3</v>
      </c>
      <c r="AP7" s="41">
        <f>VLOOKUP($A7,MasterTable[],AP$103,FALSE)</f>
        <v>659</v>
      </c>
      <c r="AQ7" s="66">
        <f>VLOOKUP($A7,MasterTable[],AQ$103,FALSE)</f>
        <v>1.5578827923689748E-2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</row>
    <row r="8" spans="1:61" s="29" customFormat="1" ht="20.149999999999999" customHeight="1" x14ac:dyDescent="0.35">
      <c r="A8" s="79" t="s">
        <v>178</v>
      </c>
      <c r="B8" s="38">
        <f>VLOOKUP($A8,MasterTable[],B$103,FALSE)</f>
        <v>73044</v>
      </c>
      <c r="C8" s="65">
        <f>VLOOKUP($A8,MasterTable[],C$103,FALSE)</f>
        <v>31102</v>
      </c>
      <c r="D8" s="65">
        <f>VLOOKUP($A8,MasterTable[],D$103,FALSE)</f>
        <v>41942</v>
      </c>
      <c r="E8" s="38">
        <f>VLOOKUP($A8,MasterTable[],E$103,FALSE)</f>
        <v>30743</v>
      </c>
      <c r="F8" s="65">
        <f>VLOOKUP($A8,MasterTable[],F$103,FALSE)</f>
        <v>16053</v>
      </c>
      <c r="G8" s="65">
        <f>VLOOKUP($A8,MasterTable[],G$103,FALSE)</f>
        <v>14690</v>
      </c>
      <c r="H8" s="38">
        <f>VLOOKUP($A8,MasterTable[],H$103,FALSE)</f>
        <v>42301</v>
      </c>
      <c r="I8" s="65">
        <f>VLOOKUP($A8,MasterTable[],I$103,FALSE)</f>
        <v>15049</v>
      </c>
      <c r="J8" s="65">
        <f>VLOOKUP($A8,MasterTable[],J$103,FALSE)</f>
        <v>27252</v>
      </c>
      <c r="K8" s="41">
        <f>VLOOKUP($A8,MasterTable[],K$103,FALSE)</f>
        <v>2085</v>
      </c>
      <c r="L8" s="66">
        <f>VLOOKUP($A8,MasterTable[],L$103,FALSE)</f>
        <v>2.883179379390453E-2</v>
      </c>
      <c r="M8" s="41">
        <f>VLOOKUP($A8,MasterTable[],M$103,FALSE)</f>
        <v>682</v>
      </c>
      <c r="N8" s="66">
        <f>VLOOKUP($A8,MasterTable[],N$103,FALSE)</f>
        <v>2.2303616979527766E-2</v>
      </c>
      <c r="O8" s="41">
        <f>VLOOKUP($A8,MasterTable[],O$103,FALSE)</f>
        <v>1403</v>
      </c>
      <c r="P8" s="66">
        <f>VLOOKUP($A8,MasterTable[],P$103,FALSE)</f>
        <v>3.3614452058076574E-2</v>
      </c>
      <c r="Q8" s="41">
        <f>VLOOKUP($A8,MasterTable[],Q$103,FALSE)</f>
        <v>967</v>
      </c>
      <c r="R8" s="66">
        <f>VLOOKUP($A8,MasterTable[],R$103,FALSE)</f>
        <v>1.3371867913048289E-2</v>
      </c>
      <c r="S8" s="41">
        <f>VLOOKUP($A8,MasterTable[],S$103,FALSE)</f>
        <v>550</v>
      </c>
      <c r="T8" s="66">
        <f>VLOOKUP($A8,MasterTable[],T$103,FALSE)</f>
        <v>1.7986787886715941E-2</v>
      </c>
      <c r="U8" s="41">
        <f>VLOOKUP($A8,MasterTable[],U$103,FALSE)</f>
        <v>417</v>
      </c>
      <c r="V8" s="66">
        <f>VLOOKUP($A8,MasterTable[],V$103,FALSE)</f>
        <v>9.9908955867554754E-3</v>
      </c>
      <c r="W8" s="64">
        <f>VLOOKUP($A8,MasterTable[],W$103,FALSE)</f>
        <v>1118</v>
      </c>
      <c r="X8" s="64">
        <f>VLOOKUP($A8,MasterTable[],X$103,FALSE)</f>
        <v>132</v>
      </c>
      <c r="Y8" s="64">
        <f>VLOOKUP($A8,MasterTable[],Y$103,FALSE)</f>
        <v>986</v>
      </c>
      <c r="Z8" s="41">
        <f>VLOOKUP($A8,MasterTable[],Z$103,FALSE)</f>
        <v>421</v>
      </c>
      <c r="AA8" s="66">
        <f>VLOOKUP($A8,MasterTable[],AA$103,FALSE)</f>
        <v>5.8216715526301236E-3</v>
      </c>
      <c r="AB8" s="41">
        <f>VLOOKUP($A8,MasterTable[],AB$103,FALSE)</f>
        <v>214</v>
      </c>
      <c r="AC8" s="66">
        <f>VLOOKUP($A8,MasterTable[],AC$103,FALSE)</f>
        <v>6.9984956504676567E-3</v>
      </c>
      <c r="AD8" s="41">
        <f>VLOOKUP($A8,MasterTable[],AD$103,FALSE)</f>
        <v>207</v>
      </c>
      <c r="AE8" s="66">
        <f>VLOOKUP($A8,MasterTable[],AE$103,FALSE)</f>
        <v>4.9595093200440849E-3</v>
      </c>
      <c r="AF8" s="41">
        <f>VLOOKUP($A8,MasterTable[],AF$103,FALSE)</f>
        <v>354</v>
      </c>
      <c r="AG8" s="66">
        <f>VLOOKUP($A8,MasterTable[],AG$103,FALSE)</f>
        <v>4.8951822556557332E-3</v>
      </c>
      <c r="AH8" s="41">
        <f>VLOOKUP($A8,MasterTable[],AH$103,FALSE)</f>
        <v>82</v>
      </c>
      <c r="AI8" s="66">
        <f>VLOOKUP($A8,MasterTable[],AI$103,FALSE)</f>
        <v>2.6816665576558309E-3</v>
      </c>
      <c r="AJ8" s="41">
        <f>VLOOKUP($A8,MasterTable[],AJ$103,FALSE)</f>
        <v>272</v>
      </c>
      <c r="AK8" s="66">
        <f>VLOOKUP($A8,MasterTable[],AK$103,FALSE)</f>
        <v>6.5168431645023723E-3</v>
      </c>
      <c r="AL8" s="41">
        <f>VLOOKUP($A8,MasterTable[],AL$103,FALSE)</f>
        <v>886</v>
      </c>
      <c r="AM8" s="66">
        <f>VLOOKUP($A8,MasterTable[],AM$103,FALSE)</f>
        <v>1.2251783837601638E-2</v>
      </c>
      <c r="AN8" s="41">
        <f>VLOOKUP($A8,MasterTable[],AN$103,FALSE)</f>
        <v>193</v>
      </c>
      <c r="AO8" s="66">
        <f>VLOOKUP($A8,MasterTable[],AO$103,FALSE)</f>
        <v>6.3117273857021391E-3</v>
      </c>
      <c r="AP8" s="41">
        <f>VLOOKUP($A8,MasterTable[],AP$103,FALSE)</f>
        <v>693</v>
      </c>
      <c r="AQ8" s="66">
        <f>VLOOKUP($A8,MasterTable[],AQ$103,FALSE)</f>
        <v>1.6603574680147587E-2</v>
      </c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</row>
    <row r="9" spans="1:61" s="29" customFormat="1" ht="20.149999999999999" customHeight="1" x14ac:dyDescent="0.35">
      <c r="A9" s="79" t="s">
        <v>177</v>
      </c>
      <c r="B9" s="38">
        <f>VLOOKUP($A9,MasterTable[],B$103,FALSE)</f>
        <v>72316</v>
      </c>
      <c r="C9" s="65">
        <f>VLOOKUP($A9,MasterTable[],C$103,FALSE)</f>
        <v>30799</v>
      </c>
      <c r="D9" s="65">
        <f>VLOOKUP($A9,MasterTable[],D$103,FALSE)</f>
        <v>41517</v>
      </c>
      <c r="E9" s="38">
        <f>VLOOKUP($A9,MasterTable[],E$103,FALSE)</f>
        <v>30578</v>
      </c>
      <c r="F9" s="65">
        <f>VLOOKUP($A9,MasterTable[],F$103,FALSE)</f>
        <v>15971</v>
      </c>
      <c r="G9" s="65">
        <f>VLOOKUP($A9,MasterTable[],G$103,FALSE)</f>
        <v>14607</v>
      </c>
      <c r="H9" s="38">
        <f>VLOOKUP($A9,MasterTable[],H$103,FALSE)</f>
        <v>41738</v>
      </c>
      <c r="I9" s="65">
        <f>VLOOKUP($A9,MasterTable[],I$103,FALSE)</f>
        <v>14828</v>
      </c>
      <c r="J9" s="65">
        <f>VLOOKUP($A9,MasterTable[],J$103,FALSE)</f>
        <v>26910</v>
      </c>
      <c r="K9" s="41">
        <f>VLOOKUP($A9,MasterTable[],K$103,FALSE)</f>
        <v>2183</v>
      </c>
      <c r="L9" s="66">
        <f>VLOOKUP($A9,MasterTable[],L$103,FALSE)</f>
        <v>3.0373441674087266E-2</v>
      </c>
      <c r="M9" s="41">
        <f>VLOOKUP($A9,MasterTable[],M$103,FALSE)</f>
        <v>817</v>
      </c>
      <c r="N9" s="66">
        <f>VLOOKUP($A9,MasterTable[],N$103,FALSE)</f>
        <v>2.6961026961026962E-2</v>
      </c>
      <c r="O9" s="41">
        <f>VLOOKUP($A9,MasterTable[],O$103,FALSE)</f>
        <v>1366</v>
      </c>
      <c r="P9" s="66">
        <f>VLOOKUP($A9,MasterTable[],P$103,FALSE)</f>
        <v>3.2861026245519495E-2</v>
      </c>
      <c r="Q9" s="41">
        <f>VLOOKUP($A9,MasterTable[],Q$103,FALSE)</f>
        <v>936</v>
      </c>
      <c r="R9" s="66">
        <f>VLOOKUP($A9,MasterTable[],R$103,FALSE)</f>
        <v>1.3023152270703473E-2</v>
      </c>
      <c r="S9" s="41">
        <f>VLOOKUP($A9,MasterTable[],S$103,FALSE)</f>
        <v>518</v>
      </c>
      <c r="T9" s="66">
        <f>VLOOKUP($A9,MasterTable[],T$103,FALSE)</f>
        <v>1.7094017094017096E-2</v>
      </c>
      <c r="U9" s="41">
        <f>VLOOKUP($A9,MasterTable[],U$103,FALSE)</f>
        <v>418</v>
      </c>
      <c r="V9" s="66">
        <f>VLOOKUP($A9,MasterTable[],V$103,FALSE)</f>
        <v>1.0055570256681662E-2</v>
      </c>
      <c r="W9" s="64">
        <f>VLOOKUP($A9,MasterTable[],W$103,FALSE)</f>
        <v>1247</v>
      </c>
      <c r="X9" s="64">
        <f>VLOOKUP($A9,MasterTable[],X$103,FALSE)</f>
        <v>299</v>
      </c>
      <c r="Y9" s="64">
        <f>VLOOKUP($A9,MasterTable[],Y$103,FALSE)</f>
        <v>948</v>
      </c>
      <c r="Z9" s="41">
        <f>VLOOKUP($A9,MasterTable[],Z$103,FALSE)</f>
        <v>380</v>
      </c>
      <c r="AA9" s="66">
        <f>VLOOKUP($A9,MasterTable[],AA$103,FALSE)</f>
        <v>5.2871772039180765E-3</v>
      </c>
      <c r="AB9" s="41">
        <f>VLOOKUP($A9,MasterTable[],AB$103,FALSE)</f>
        <v>181</v>
      </c>
      <c r="AC9" s="66">
        <f>VLOOKUP($A9,MasterTable[],AC$103,FALSE)</f>
        <v>5.9730059730059726E-3</v>
      </c>
      <c r="AD9" s="41">
        <f>VLOOKUP($A9,MasterTable[],AD$103,FALSE)</f>
        <v>199</v>
      </c>
      <c r="AE9" s="66">
        <f>VLOOKUP($A9,MasterTable[],AE$103,FALSE)</f>
        <v>4.7872212466020352E-3</v>
      </c>
      <c r="AF9" s="41">
        <f>VLOOKUP($A9,MasterTable[],AF$103,FALSE)</f>
        <v>375</v>
      </c>
      <c r="AG9" s="66">
        <f>VLOOKUP($A9,MasterTable[],AG$103,FALSE)</f>
        <v>5.2176090828138909E-3</v>
      </c>
      <c r="AH9" s="41">
        <f>VLOOKUP($A9,MasterTable[],AH$103,FALSE)</f>
        <v>108</v>
      </c>
      <c r="AI9" s="66">
        <f>VLOOKUP($A9,MasterTable[],AI$103,FALSE)</f>
        <v>3.564003564003564E-3</v>
      </c>
      <c r="AJ9" s="41">
        <f>VLOOKUP($A9,MasterTable[],AJ$103,FALSE)</f>
        <v>267</v>
      </c>
      <c r="AK9" s="66">
        <f>VLOOKUP($A9,MasterTable[],AK$103,FALSE)</f>
        <v>6.4230556424258465E-3</v>
      </c>
      <c r="AL9" s="41">
        <f>VLOOKUP($A9,MasterTable[],AL$103,FALSE)</f>
        <v>717</v>
      </c>
      <c r="AM9" s="66">
        <f>VLOOKUP($A9,MasterTable[],AM$103,FALSE)</f>
        <v>9.9760685663401599E-3</v>
      </c>
      <c r="AN9" s="41">
        <f>VLOOKUP($A9,MasterTable[],AN$103,FALSE)</f>
        <v>168</v>
      </c>
      <c r="AO9" s="66">
        <f>VLOOKUP($A9,MasterTable[],AO$103,FALSE)</f>
        <v>5.544005544005544E-3</v>
      </c>
      <c r="AP9" s="41">
        <f>VLOOKUP($A9,MasterTable[],AP$103,FALSE)</f>
        <v>549</v>
      </c>
      <c r="AQ9" s="66">
        <f>VLOOKUP($A9,MasterTable[],AQ$103,FALSE)</f>
        <v>1.3206957107459887E-2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1:61" s="84" customFormat="1" ht="20.149999999999999" customHeight="1" x14ac:dyDescent="0.35">
      <c r="A10" s="79" t="s">
        <v>163</v>
      </c>
      <c r="B10" s="38">
        <f>VLOOKUP($A10,MasterTable[],B$103,FALSE)</f>
        <v>71872</v>
      </c>
      <c r="C10" s="65">
        <f>VLOOKUP($A10,MasterTable[],C$103,FALSE)</f>
        <v>30539</v>
      </c>
      <c r="D10" s="65">
        <f>VLOOKUP($A10,MasterTable[],D$103,FALSE)</f>
        <v>41333</v>
      </c>
      <c r="E10" s="38">
        <f>VLOOKUP($A10,MasterTable[],E$103,FALSE)</f>
        <v>30303</v>
      </c>
      <c r="F10" s="65">
        <f>VLOOKUP($A10,MasterTable[],F$103,FALSE)</f>
        <v>15886</v>
      </c>
      <c r="G10" s="65">
        <f>VLOOKUP($A10,MasterTable[],G$103,FALSE)</f>
        <v>14417</v>
      </c>
      <c r="H10" s="38">
        <f>VLOOKUP($A10,MasterTable[],H$103,FALSE)</f>
        <v>41569</v>
      </c>
      <c r="I10" s="65">
        <f>VLOOKUP($A10,MasterTable[],I$103,FALSE)</f>
        <v>14653</v>
      </c>
      <c r="J10" s="65">
        <f>VLOOKUP($A10,MasterTable[],J$103,FALSE)</f>
        <v>26916</v>
      </c>
      <c r="K10" s="41">
        <f>VLOOKUP($A10,MasterTable[],K$103,FALSE)</f>
        <v>2043</v>
      </c>
      <c r="L10" s="66">
        <f>VLOOKUP($A10,MasterTable[],L$103,FALSE)</f>
        <v>2.8636707689719942E-2</v>
      </c>
      <c r="M10" s="41">
        <f>VLOOKUP($A10,MasterTable[],M$103,FALSE)</f>
        <v>912</v>
      </c>
      <c r="N10" s="66">
        <f>VLOOKUP($A10,MasterTable[],N$103,FALSE)</f>
        <v>3.0432461292044848E-2</v>
      </c>
      <c r="O10" s="41">
        <f>VLOOKUP($A10,MasterTable[],O$103,FALSE)</f>
        <v>1131</v>
      </c>
      <c r="P10" s="66">
        <f>VLOOKUP($A10,MasterTable[],P$103,FALSE)</f>
        <v>2.7336008121042199E-2</v>
      </c>
      <c r="Q10" s="41">
        <f>VLOOKUP($A10,MasterTable[],Q$103,FALSE)</f>
        <v>1312</v>
      </c>
      <c r="R10" s="66">
        <f>VLOOKUP($A10,MasterTable[],R$103,FALSE)</f>
        <v>1.8390289030304728E-2</v>
      </c>
      <c r="S10" s="41">
        <f>VLOOKUP($A10,MasterTable[],S$103,FALSE)</f>
        <v>720</v>
      </c>
      <c r="T10" s="66">
        <f>VLOOKUP($A10,MasterTable[],T$103,FALSE)</f>
        <v>2.4025627335824879E-2</v>
      </c>
      <c r="U10" s="41">
        <f>VLOOKUP($A10,MasterTable[],U$103,FALSE)</f>
        <v>592</v>
      </c>
      <c r="V10" s="66">
        <f>VLOOKUP($A10,MasterTable[],V$103,FALSE)</f>
        <v>1.4308502924541984E-2</v>
      </c>
      <c r="W10" s="64">
        <f>VLOOKUP($A10,MasterTable[],W$103,FALSE)</f>
        <v>731</v>
      </c>
      <c r="X10" s="64">
        <f>VLOOKUP($A10,MasterTable[],X$103,FALSE)</f>
        <v>192</v>
      </c>
      <c r="Y10" s="64">
        <f>VLOOKUP($A10,MasterTable[],Y$103,FALSE)</f>
        <v>539</v>
      </c>
      <c r="Z10" s="41">
        <f>VLOOKUP($A10,MasterTable[],Z$103,FALSE)</f>
        <v>716</v>
      </c>
      <c r="AA10" s="66">
        <f>VLOOKUP($A10,MasterTable[],AA$103,FALSE)</f>
        <v>1.0036163830562642E-2</v>
      </c>
      <c r="AB10" s="41">
        <f>VLOOKUP($A10,MasterTable[],AB$103,FALSE)</f>
        <v>353</v>
      </c>
      <c r="AC10" s="66">
        <f>VLOOKUP($A10,MasterTable[],AC$103,FALSE)</f>
        <v>1.1779231179925253E-2</v>
      </c>
      <c r="AD10" s="41">
        <f>VLOOKUP($A10,MasterTable[],AD$103,FALSE)</f>
        <v>363</v>
      </c>
      <c r="AE10" s="66">
        <f>VLOOKUP($A10,MasterTable[],AE$103,FALSE)</f>
        <v>8.7736259486634119E-3</v>
      </c>
      <c r="AF10" s="41">
        <f>VLOOKUP($A10,MasterTable[],AF$103,FALSE)</f>
        <v>305</v>
      </c>
      <c r="AG10" s="66">
        <f>VLOOKUP($A10,MasterTable[],AG$103,FALSE)</f>
        <v>4.2751815200022429E-3</v>
      </c>
      <c r="AH10" s="41">
        <f>VLOOKUP($A10,MasterTable[],AH$103,FALSE)</f>
        <v>78</v>
      </c>
      <c r="AI10" s="66">
        <f>VLOOKUP($A10,MasterTable[],AI$103,FALSE)</f>
        <v>2.6027762947143621E-3</v>
      </c>
      <c r="AJ10" s="41">
        <f>VLOOKUP($A10,MasterTable[],AJ$103,FALSE)</f>
        <v>227</v>
      </c>
      <c r="AK10" s="66">
        <f>VLOOKUP($A10,MasterTable[],AK$103,FALSE)</f>
        <v>5.4865374389713346E-3</v>
      </c>
      <c r="AL10" s="41">
        <f>VLOOKUP($A10,MasterTable[],AL$103,FALSE)</f>
        <v>800</v>
      </c>
      <c r="AM10" s="66">
        <f>VLOOKUP($A10,MasterTable[],AM$103,FALSE)</f>
        <v>1.121359087213703E-2</v>
      </c>
      <c r="AN10" s="41">
        <f>VLOOKUP($A10,MasterTable[],AN$103,FALSE)</f>
        <v>176</v>
      </c>
      <c r="AO10" s="66">
        <f>VLOOKUP($A10,MasterTable[],AO$103,FALSE)</f>
        <v>5.8729311265349705E-3</v>
      </c>
      <c r="AP10" s="41">
        <f>VLOOKUP($A10,MasterTable[],AP$103,FALSE)</f>
        <v>624</v>
      </c>
      <c r="AQ10" s="66">
        <f>VLOOKUP($A10,MasterTable[],AQ$103,FALSE)</f>
        <v>1.5081935515057765E-2</v>
      </c>
      <c r="AR10" s="77"/>
      <c r="AS10" s="77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</row>
    <row r="11" spans="1:61" s="84" customFormat="1" ht="20.149999999999999" customHeight="1" x14ac:dyDescent="0.35">
      <c r="A11" s="79" t="s">
        <v>162</v>
      </c>
      <c r="B11" s="38">
        <f>VLOOKUP($A11,MasterTable[],B$103,FALSE)</f>
        <v>71342</v>
      </c>
      <c r="C11" s="65">
        <f>VLOOKUP($A11,MasterTable[],C$103,FALSE)</f>
        <v>30112</v>
      </c>
      <c r="D11" s="65">
        <f>VLOOKUP($A11,MasterTable[],D$103,FALSE)</f>
        <v>41230</v>
      </c>
      <c r="E11" s="38">
        <f>VLOOKUP($A11,MasterTable[],E$103,FALSE)</f>
        <v>29968</v>
      </c>
      <c r="F11" s="65">
        <f>VLOOKUP($A11,MasterTable[],F$103,FALSE)</f>
        <v>15662</v>
      </c>
      <c r="G11" s="65">
        <f>VLOOKUP($A11,MasterTable[],G$103,FALSE)</f>
        <v>14306</v>
      </c>
      <c r="H11" s="38">
        <f>VLOOKUP($A11,MasterTable[],H$103,FALSE)</f>
        <v>41374</v>
      </c>
      <c r="I11" s="65">
        <f>VLOOKUP($A11,MasterTable[],I$103,FALSE)</f>
        <v>14450</v>
      </c>
      <c r="J11" s="65">
        <f>VLOOKUP($A11,MasterTable[],J$103,FALSE)</f>
        <v>26924</v>
      </c>
      <c r="K11" s="41">
        <f>VLOOKUP($A11,MasterTable[],K$103,FALSE)</f>
        <v>2037</v>
      </c>
      <c r="L11" s="66">
        <f>VLOOKUP($A11,MasterTable[],L$103,FALSE)</f>
        <v>2.8846562345110811E-2</v>
      </c>
      <c r="M11" s="41">
        <f>VLOOKUP($A11,MasterTable[],M$103,FALSE)</f>
        <v>789</v>
      </c>
      <c r="N11" s="66">
        <f>VLOOKUP($A11,MasterTable[],N$103,FALSE)</f>
        <v>2.6464964948176972E-2</v>
      </c>
      <c r="O11" s="41">
        <f>VLOOKUP($A11,MasterTable[],O$103,FALSE)</f>
        <v>1248</v>
      </c>
      <c r="P11" s="66">
        <f>VLOOKUP($A11,MasterTable[],P$103,FALSE)</f>
        <v>3.0586735944316455E-2</v>
      </c>
      <c r="Q11" s="41">
        <f>VLOOKUP($A11,MasterTable[],Q$103,FALSE)</f>
        <v>1176</v>
      </c>
      <c r="R11" s="66">
        <f>VLOOKUP($A11,MasterTable[],R$103,FALSE)</f>
        <v>1.6653685477589747E-2</v>
      </c>
      <c r="S11" s="41">
        <f>VLOOKUP($A11,MasterTable[],S$103,FALSE)</f>
        <v>664</v>
      </c>
      <c r="T11" s="66">
        <f>VLOOKUP($A11,MasterTable[],T$103,FALSE)</f>
        <v>2.2272163150303559E-2</v>
      </c>
      <c r="U11" s="41">
        <f>VLOOKUP($A11,MasterTable[],U$103,FALSE)</f>
        <v>512</v>
      </c>
      <c r="V11" s="66">
        <f>VLOOKUP($A11,MasterTable[],V$103,FALSE)</f>
        <v>1.2548404489975981E-2</v>
      </c>
      <c r="W11" s="64">
        <f>VLOOKUP($A11,MasterTable[],W$103,FALSE)</f>
        <v>861</v>
      </c>
      <c r="X11" s="64">
        <f>VLOOKUP($A11,MasterTable[],X$103,FALSE)</f>
        <v>125</v>
      </c>
      <c r="Y11" s="64">
        <f>VLOOKUP($A11,MasterTable[],Y$103,FALSE)</f>
        <v>736</v>
      </c>
      <c r="Z11" s="41">
        <f>VLOOKUP($A11,MasterTable[],Z$103,FALSE)</f>
        <v>446</v>
      </c>
      <c r="AA11" s="66">
        <f>VLOOKUP($A11,MasterTable[],AA$103,FALSE)</f>
        <v>6.3159385399702613E-3</v>
      </c>
      <c r="AB11" s="41">
        <f>VLOOKUP($A11,MasterTable[],AB$103,FALSE)</f>
        <v>222</v>
      </c>
      <c r="AC11" s="66">
        <f>VLOOKUP($A11,MasterTable[],AC$103,FALSE)</f>
        <v>7.4464159930231781E-3</v>
      </c>
      <c r="AD11" s="41">
        <f>VLOOKUP($A11,MasterTable[],AD$103,FALSE)</f>
        <v>224</v>
      </c>
      <c r="AE11" s="66">
        <f>VLOOKUP($A11,MasterTable[],AE$103,FALSE)</f>
        <v>5.4899269643644919E-3</v>
      </c>
      <c r="AF11" s="41">
        <f>VLOOKUP($A11,MasterTable[],AF$103,FALSE)</f>
        <v>630</v>
      </c>
      <c r="AG11" s="66">
        <f>VLOOKUP($A11,MasterTable[],AG$103,FALSE)</f>
        <v>8.9216172201373647E-3</v>
      </c>
      <c r="AH11" s="41">
        <f>VLOOKUP($A11,MasterTable[],AH$103,FALSE)</f>
        <v>262</v>
      </c>
      <c r="AI11" s="66">
        <f>VLOOKUP($A11,MasterTable[],AI$103,FALSE)</f>
        <v>8.7881125683426688E-3</v>
      </c>
      <c r="AJ11" s="41">
        <f>VLOOKUP($A11,MasterTable[],AJ$103,FALSE)</f>
        <v>368</v>
      </c>
      <c r="AK11" s="66">
        <f>VLOOKUP($A11,MasterTable[],AK$103,FALSE)</f>
        <v>9.0191657271702363E-3</v>
      </c>
      <c r="AL11" s="41">
        <f>VLOOKUP($A11,MasterTable[],AL$103,FALSE)</f>
        <v>1006</v>
      </c>
      <c r="AM11" s="66">
        <f>VLOOKUP($A11,MasterTable[],AM$103,FALSE)</f>
        <v>1.4246264957870141E-2</v>
      </c>
      <c r="AN11" s="41">
        <f>VLOOKUP($A11,MasterTable[],AN$103,FALSE)</f>
        <v>285</v>
      </c>
      <c r="AO11" s="66">
        <f>VLOOKUP($A11,MasterTable[],AO$103,FALSE)</f>
        <v>9.5595880991513772E-3</v>
      </c>
      <c r="AP11" s="41">
        <f>VLOOKUP($A11,MasterTable[],AP$103,FALSE)</f>
        <v>721</v>
      </c>
      <c r="AQ11" s="66">
        <f>VLOOKUP($A11,MasterTable[],AQ$103,FALSE)</f>
        <v>1.7670702416548209E-2</v>
      </c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</row>
    <row r="12" spans="1:61" s="84" customFormat="1" ht="20.149999999999999" customHeight="1" x14ac:dyDescent="0.35">
      <c r="A12" s="79" t="s">
        <v>141</v>
      </c>
      <c r="B12" s="38">
        <f>VLOOKUP($A12,MasterTable[],B$103,FALSE)</f>
        <v>70615</v>
      </c>
      <c r="C12" s="65">
        <f>VLOOKUP($A12,MasterTable[],C$103,FALSE)</f>
        <v>29754</v>
      </c>
      <c r="D12" s="65">
        <f>VLOOKUP($A12,MasterTable[],D$103,FALSE)</f>
        <v>40861</v>
      </c>
      <c r="E12" s="38">
        <f>VLOOKUP($A12,MasterTable[],E$103,FALSE)</f>
        <v>29813</v>
      </c>
      <c r="F12" s="65">
        <f>VLOOKUP($A12,MasterTable[],F$103,FALSE)</f>
        <v>15590</v>
      </c>
      <c r="G12" s="65">
        <f>VLOOKUP($A12,MasterTable[],G$103,FALSE)</f>
        <v>14223</v>
      </c>
      <c r="H12" s="38">
        <f>VLOOKUP($A12,MasterTable[],H$103,FALSE)</f>
        <v>40802</v>
      </c>
      <c r="I12" s="65">
        <f>VLOOKUP($A12,MasterTable[],I$103,FALSE)</f>
        <v>14164</v>
      </c>
      <c r="J12" s="65">
        <f>VLOOKUP($A12,MasterTable[],J$103,FALSE)</f>
        <v>26638</v>
      </c>
      <c r="K12" s="41">
        <f>VLOOKUP($A12,MasterTable[],K$103,FALSE)</f>
        <v>1616</v>
      </c>
      <c r="L12" s="66">
        <f>VLOOKUP($A12,MasterTable[],L$103,FALSE)</f>
        <v>2.296628957989881E-2</v>
      </c>
      <c r="M12" s="41">
        <f>VLOOKUP($A12,MasterTable[],M$103,FALSE)</f>
        <v>686</v>
      </c>
      <c r="N12" s="66">
        <f>VLOOKUP($A12,MasterTable[],N$103,FALSE)</f>
        <v>2.3038688876947877E-2</v>
      </c>
      <c r="O12" s="41">
        <f>VLOOKUP($A12,MasterTable[],O$103,FALSE)</f>
        <v>930</v>
      </c>
      <c r="P12" s="66">
        <f>VLOOKUP($A12,MasterTable[],P$103,FALSE)</f>
        <v>2.2913176308268453E-2</v>
      </c>
      <c r="Q12" s="41">
        <f>VLOOKUP($A12,MasterTable[],Q$103,FALSE)</f>
        <v>1238</v>
      </c>
      <c r="R12" s="66">
        <f>VLOOKUP($A12,MasterTable[],R$103,FALSE)</f>
        <v>1.7594224319254163E-2</v>
      </c>
      <c r="S12" s="41">
        <f>VLOOKUP($A12,MasterTable[],S$103,FALSE)</f>
        <v>733</v>
      </c>
      <c r="T12" s="66">
        <f>VLOOKUP($A12,MasterTable[],T$103,FALSE)</f>
        <v>2.4617141321869963E-2</v>
      </c>
      <c r="U12" s="41">
        <f>VLOOKUP($A12,MasterTable[],U$103,FALSE)</f>
        <v>505</v>
      </c>
      <c r="V12" s="66">
        <f>VLOOKUP($A12,MasterTable[],V$103,FALSE)</f>
        <v>1.2442101113629644E-2</v>
      </c>
      <c r="W12" s="64">
        <f>VLOOKUP($A12,MasterTable[],W$103,FALSE)</f>
        <v>378</v>
      </c>
      <c r="X12" s="64">
        <f>VLOOKUP($A12,MasterTable[],X$103,FALSE)</f>
        <v>-47</v>
      </c>
      <c r="Y12" s="64">
        <f>VLOOKUP($A12,MasterTable[],Y$103,FALSE)</f>
        <v>425</v>
      </c>
      <c r="Z12" s="41">
        <f>VLOOKUP($A12,MasterTable[],Z$103,FALSE)</f>
        <v>447</v>
      </c>
      <c r="AA12" s="66">
        <f>VLOOKUP($A12,MasterTable[],AA$103,FALSE)</f>
        <v>6.3526803479051789E-3</v>
      </c>
      <c r="AB12" s="41">
        <f>VLOOKUP($A12,MasterTable[],AB$103,FALSE)</f>
        <v>219</v>
      </c>
      <c r="AC12" s="66">
        <f>VLOOKUP($A12,MasterTable[],AC$103,FALSE)</f>
        <v>7.3549167114454594E-3</v>
      </c>
      <c r="AD12" s="41">
        <f>VLOOKUP($A12,MasterTable[],AD$103,FALSE)</f>
        <v>228</v>
      </c>
      <c r="AE12" s="66">
        <f>VLOOKUP($A12,MasterTable[],AE$103,FALSE)</f>
        <v>5.6174238691238786E-3</v>
      </c>
      <c r="AF12" s="41">
        <f>VLOOKUP($A12,MasterTable[],AF$103,FALSE)</f>
        <v>336</v>
      </c>
      <c r="AG12" s="66">
        <f>VLOOKUP($A12,MasterTable[],AG$103,FALSE)</f>
        <v>4.7751691205730204E-3</v>
      </c>
      <c r="AH12" s="41">
        <f>VLOOKUP($A12,MasterTable[],AH$103,FALSE)</f>
        <v>80</v>
      </c>
      <c r="AI12" s="66">
        <f>VLOOKUP($A12,MasterTable[],AI$103,FALSE)</f>
        <v>2.6867275658248252E-3</v>
      </c>
      <c r="AJ12" s="41">
        <f>VLOOKUP($A12,MasterTable[],AJ$103,FALSE)</f>
        <v>256</v>
      </c>
      <c r="AK12" s="66">
        <f>VLOOKUP($A12,MasterTable[],AK$103,FALSE)</f>
        <v>6.3072829407706714E-3</v>
      </c>
      <c r="AL12" s="41">
        <f>VLOOKUP($A12,MasterTable[],AL$103,FALSE)</f>
        <v>732</v>
      </c>
      <c r="AM12" s="66">
        <f>VLOOKUP($A12,MasterTable[],AM$103,FALSE)</f>
        <v>1.0403047012676936E-2</v>
      </c>
      <c r="AN12" s="41">
        <f>VLOOKUP($A12,MasterTable[],AN$103,FALSE)</f>
        <v>170</v>
      </c>
      <c r="AO12" s="66">
        <f>VLOOKUP($A12,MasterTable[],AO$103,FALSE)</f>
        <v>5.7092960773777535E-3</v>
      </c>
      <c r="AP12" s="41">
        <f>VLOOKUP($A12,MasterTable[],AP$103,FALSE)</f>
        <v>562</v>
      </c>
      <c r="AQ12" s="66">
        <f>VLOOKUP($A12,MasterTable[],AQ$103,FALSE)</f>
        <v>1.3846457080910615E-2</v>
      </c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</row>
    <row r="13" spans="1:61" s="84" customFormat="1" ht="20.149999999999999" customHeight="1" x14ac:dyDescent="0.35">
      <c r="A13" s="79" t="s">
        <v>140</v>
      </c>
      <c r="B13" s="38">
        <f>VLOOKUP($A13,MasterTable[],B$103,FALSE)</f>
        <v>70364</v>
      </c>
      <c r="C13" s="65">
        <f>VLOOKUP($A13,MasterTable[],C$103,FALSE)</f>
        <v>29599</v>
      </c>
      <c r="D13" s="65">
        <f>VLOOKUP($A13,MasterTable[],D$103,FALSE)</f>
        <v>40765</v>
      </c>
      <c r="E13" s="38">
        <f>VLOOKUP($A13,MasterTable[],E$103,FALSE)</f>
        <v>29776</v>
      </c>
      <c r="F13" s="65">
        <f>VLOOKUP($A13,MasterTable[],F$103,FALSE)</f>
        <v>15622</v>
      </c>
      <c r="G13" s="65">
        <f>VLOOKUP($A13,MasterTable[],G$103,FALSE)</f>
        <v>14154</v>
      </c>
      <c r="H13" s="38">
        <f>VLOOKUP($A13,MasterTable[],H$103,FALSE)</f>
        <v>40588</v>
      </c>
      <c r="I13" s="65">
        <f>VLOOKUP($A13,MasterTable[],I$103,FALSE)</f>
        <v>13977</v>
      </c>
      <c r="J13" s="65">
        <f>VLOOKUP($A13,MasterTable[],J$103,FALSE)</f>
        <v>26611</v>
      </c>
      <c r="K13" s="41">
        <f>VLOOKUP($A13,MasterTable[],K$103,FALSE)</f>
        <v>1901</v>
      </c>
      <c r="L13" s="66">
        <f>VLOOKUP($A13,MasterTable[],L$103,FALSE)</f>
        <v>2.6850282485875707E-2</v>
      </c>
      <c r="M13" s="41">
        <f>VLOOKUP($A13,MasterTable[],M$103,FALSE)</f>
        <v>882</v>
      </c>
      <c r="N13" s="66">
        <f>VLOOKUP($A13,MasterTable[],N$103,FALSE)</f>
        <v>2.9236276849642005E-2</v>
      </c>
      <c r="O13" s="41">
        <f>VLOOKUP($A13,MasterTable[],O$103,FALSE)</f>
        <v>1019</v>
      </c>
      <c r="P13" s="66">
        <f>VLOOKUP($A13,MasterTable[],P$103,FALSE)</f>
        <v>2.5078755660563102E-2</v>
      </c>
      <c r="Q13" s="41">
        <f>VLOOKUP($A13,MasterTable[],Q$103,FALSE)</f>
        <v>1390</v>
      </c>
      <c r="R13" s="66">
        <f>VLOOKUP($A13,MasterTable[],R$103,FALSE)</f>
        <v>1.9632768361581922E-2</v>
      </c>
      <c r="S13" s="41">
        <f>VLOOKUP($A13,MasterTable[],S$103,FALSE)</f>
        <v>843</v>
      </c>
      <c r="T13" s="66">
        <f>VLOOKUP($A13,MasterTable[],T$103,FALSE)</f>
        <v>2.7943516308671441E-2</v>
      </c>
      <c r="U13" s="41">
        <f>VLOOKUP($A13,MasterTable[],U$103,FALSE)</f>
        <v>547</v>
      </c>
      <c r="V13" s="66">
        <f>VLOOKUP($A13,MasterTable[],V$103,FALSE)</f>
        <v>1.3462295727505414E-2</v>
      </c>
      <c r="W13" s="64">
        <f>VLOOKUP($A13,MasterTable[],W$103,FALSE)</f>
        <v>511</v>
      </c>
      <c r="X13" s="64">
        <f>VLOOKUP($A13,MasterTable[],X$103,FALSE)</f>
        <v>39</v>
      </c>
      <c r="Y13" s="64">
        <f>VLOOKUP($A13,MasterTable[],Y$103,FALSE)</f>
        <v>472</v>
      </c>
      <c r="Z13" s="41">
        <f>VLOOKUP($A13,MasterTable[],Z$103,FALSE)</f>
        <v>497</v>
      </c>
      <c r="AA13" s="66">
        <f>VLOOKUP($A13,MasterTable[],AA$103,FALSE)</f>
        <v>7.0197740112994348E-3</v>
      </c>
      <c r="AB13" s="41">
        <f>VLOOKUP($A13,MasterTable[],AB$103,FALSE)</f>
        <v>254</v>
      </c>
      <c r="AC13" s="66">
        <f>VLOOKUP($A13,MasterTable[],AC$103,FALSE)</f>
        <v>8.4195173693980378E-3</v>
      </c>
      <c r="AD13" s="41">
        <f>VLOOKUP($A13,MasterTable[],AD$103,FALSE)</f>
        <v>243</v>
      </c>
      <c r="AE13" s="66">
        <f>VLOOKUP($A13,MasterTable[],AE$103,FALSE)</f>
        <v>5.9805079740106321E-3</v>
      </c>
      <c r="AF13" s="41">
        <f>VLOOKUP($A13,MasterTable[],AF$103,FALSE)</f>
        <v>330</v>
      </c>
      <c r="AG13" s="66">
        <f>VLOOKUP($A13,MasterTable[],AG$103,FALSE)</f>
        <v>4.6610169491525426E-3</v>
      </c>
      <c r="AH13" s="41">
        <f>VLOOKUP($A13,MasterTable[],AH$103,FALSE)</f>
        <v>71</v>
      </c>
      <c r="AI13" s="66">
        <f>VLOOKUP($A13,MasterTable[],AI$103,FALSE)</f>
        <v>2.3534871386900027E-3</v>
      </c>
      <c r="AJ13" s="41">
        <f>VLOOKUP($A13,MasterTable[],AJ$103,FALSE)</f>
        <v>259</v>
      </c>
      <c r="AK13" s="66">
        <f>VLOOKUP($A13,MasterTable[],AK$103,FALSE)</f>
        <v>6.3742862768261469E-3</v>
      </c>
      <c r="AL13" s="41">
        <f>VLOOKUP($A13,MasterTable[],AL$103,FALSE)</f>
        <v>768</v>
      </c>
      <c r="AM13" s="66">
        <f>VLOOKUP($A13,MasterTable[],AM$103,FALSE)</f>
        <v>1.0847457627118645E-2</v>
      </c>
      <c r="AN13" s="41">
        <f>VLOOKUP($A13,MasterTable[],AN$103,FALSE)</f>
        <v>148</v>
      </c>
      <c r="AO13" s="66">
        <f>VLOOKUP($A13,MasterTable[],AO$103,FALSE)</f>
        <v>4.9058605144523997E-3</v>
      </c>
      <c r="AP13" s="41">
        <f>VLOOKUP($A13,MasterTable[],AP$103,FALSE)</f>
        <v>620</v>
      </c>
      <c r="AQ13" s="66">
        <f>VLOOKUP($A13,MasterTable[],AQ$103,FALSE)</f>
        <v>1.5258909234101201E-2</v>
      </c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</row>
    <row r="14" spans="1:61" s="84" customFormat="1" ht="20.149999999999999" customHeight="1" x14ac:dyDescent="0.35">
      <c r="A14" s="79" t="s">
        <v>139</v>
      </c>
      <c r="B14" s="38">
        <f>VLOOKUP($A14,MasterTable[],B$103,FALSE)</f>
        <v>70800</v>
      </c>
      <c r="C14" s="65">
        <f>VLOOKUP($A14,MasterTable[],C$103,FALSE)</f>
        <v>29864</v>
      </c>
      <c r="D14" s="65">
        <f>VLOOKUP($A14,MasterTable[],D$103,FALSE)</f>
        <v>40936</v>
      </c>
      <c r="E14" s="38">
        <f>VLOOKUP($A14,MasterTable[],E$103,FALSE)</f>
        <v>30168</v>
      </c>
      <c r="F14" s="65">
        <f>VLOOKUP($A14,MasterTable[],F$103,FALSE)</f>
        <v>15948</v>
      </c>
      <c r="G14" s="65">
        <f>VLOOKUP($A14,MasterTable[],G$103,FALSE)</f>
        <v>14220</v>
      </c>
      <c r="H14" s="38">
        <f>VLOOKUP($A14,MasterTable[],H$103,FALSE)</f>
        <v>40632</v>
      </c>
      <c r="I14" s="65">
        <f>VLOOKUP($A14,MasterTable[],I$103,FALSE)</f>
        <v>13916</v>
      </c>
      <c r="J14" s="65">
        <f>VLOOKUP($A14,MasterTable[],J$103,FALSE)</f>
        <v>26716</v>
      </c>
      <c r="K14" s="41">
        <f>VLOOKUP($A14,MasterTable[],K$103,FALSE)</f>
        <v>1314</v>
      </c>
      <c r="L14" s="66">
        <f>VLOOKUP($A14,MasterTable[],L$103,FALSE)</f>
        <v>1.8585572842998586E-2</v>
      </c>
      <c r="M14" s="41">
        <f>VLOOKUP($A14,MasterTable[],M$103,FALSE)</f>
        <v>631</v>
      </c>
      <c r="N14" s="66">
        <f>VLOOKUP($A14,MasterTable[],N$103,FALSE)</f>
        <v>2.0976696253449022E-2</v>
      </c>
      <c r="O14" s="41">
        <f>VLOOKUP($A14,MasterTable[],O$103,FALSE)</f>
        <v>683</v>
      </c>
      <c r="P14" s="66">
        <f>VLOOKUP($A14,MasterTable[],P$103,FALSE)</f>
        <v>1.681479110760974E-2</v>
      </c>
      <c r="Q14" s="41">
        <f>VLOOKUP($A14,MasterTable[],Q$103,FALSE)</f>
        <v>1694</v>
      </c>
      <c r="R14" s="66">
        <f>VLOOKUP($A14,MasterTable[],R$103,FALSE)</f>
        <v>2.3960396039603961E-2</v>
      </c>
      <c r="S14" s="41">
        <f>VLOOKUP($A14,MasterTable[],S$103,FALSE)</f>
        <v>984</v>
      </c>
      <c r="T14" s="66">
        <f>VLOOKUP($A14,MasterTable[],T$103,FALSE)</f>
        <v>3.2711678468136031E-2</v>
      </c>
      <c r="U14" s="41">
        <f>VLOOKUP($A14,MasterTable[],U$103,FALSE)</f>
        <v>710</v>
      </c>
      <c r="V14" s="66">
        <f>VLOOKUP($A14,MasterTable[],V$103,FALSE)</f>
        <v>1.7479504665304416E-2</v>
      </c>
      <c r="W14" s="64">
        <f>VLOOKUP($A14,MasterTable[],W$103,FALSE)</f>
        <v>-380</v>
      </c>
      <c r="X14" s="64">
        <f>VLOOKUP($A14,MasterTable[],X$103,FALSE)</f>
        <v>-353</v>
      </c>
      <c r="Y14" s="64">
        <f>VLOOKUP($A14,MasterTable[],Y$103,FALSE)</f>
        <v>-27</v>
      </c>
      <c r="Z14" s="41">
        <f>VLOOKUP($A14,MasterTable[],Z$103,FALSE)</f>
        <v>910</v>
      </c>
      <c r="AA14" s="66">
        <f>VLOOKUP($A14,MasterTable[],AA$103,FALSE)</f>
        <v>1.2871287128712871E-2</v>
      </c>
      <c r="AB14" s="41">
        <f>VLOOKUP($A14,MasterTable[],AB$103,FALSE)</f>
        <v>481</v>
      </c>
      <c r="AC14" s="66">
        <f>VLOOKUP($A14,MasterTable[],AC$103,FALSE)</f>
        <v>1.5990159901599015E-2</v>
      </c>
      <c r="AD14" s="41">
        <f>VLOOKUP($A14,MasterTable[],AD$103,FALSE)</f>
        <v>429</v>
      </c>
      <c r="AE14" s="66">
        <f>VLOOKUP($A14,MasterTable[],AE$103,FALSE)</f>
        <v>1.0561559861148723E-2</v>
      </c>
      <c r="AF14" s="41">
        <f>VLOOKUP($A14,MasterTable[],AF$103,FALSE)</f>
        <v>290</v>
      </c>
      <c r="AG14" s="66">
        <f>VLOOKUP($A14,MasterTable[],AG$103,FALSE)</f>
        <v>4.1018387553041023E-3</v>
      </c>
      <c r="AH14" s="41">
        <f>VLOOKUP($A14,MasterTable[],AH$103,FALSE)</f>
        <v>53</v>
      </c>
      <c r="AI14" s="66">
        <f>VLOOKUP($A14,MasterTable[],AI$103,FALSE)</f>
        <v>1.7619095109870017E-3</v>
      </c>
      <c r="AJ14" s="41">
        <f>VLOOKUP($A14,MasterTable[],AJ$103,FALSE)</f>
        <v>237</v>
      </c>
      <c r="AK14" s="66">
        <f>VLOOKUP($A14,MasterTable[],AK$103,FALSE)</f>
        <v>5.8347078953199238E-3</v>
      </c>
      <c r="AL14" s="41">
        <f>VLOOKUP($A14,MasterTable[],AL$103,FALSE)</f>
        <v>613</v>
      </c>
      <c r="AM14" s="66">
        <f>VLOOKUP($A14,MasterTable[],AM$103,FALSE)</f>
        <v>8.670438472418671E-3</v>
      </c>
      <c r="AN14" s="41">
        <f>VLOOKUP($A14,MasterTable[],AN$103,FALSE)</f>
        <v>112</v>
      </c>
      <c r="AO14" s="66">
        <f>VLOOKUP($A14,MasterTable[],AO$103,FALSE)</f>
        <v>3.7232804760480038E-3</v>
      </c>
      <c r="AP14" s="41">
        <f>VLOOKUP($A14,MasterTable[],AP$103,FALSE)</f>
        <v>501</v>
      </c>
      <c r="AQ14" s="66">
        <f>VLOOKUP($A14,MasterTable[],AQ$103,FALSE)</f>
        <v>1.2334129348334524E-2</v>
      </c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</row>
    <row r="15" spans="1:61" s="84" customFormat="1" ht="20.149999999999999" customHeight="1" x14ac:dyDescent="0.35">
      <c r="A15" s="79" t="s">
        <v>138</v>
      </c>
      <c r="B15" s="38">
        <f>VLOOKUP($A15,MasterTable[],B$103,FALSE)</f>
        <v>70700</v>
      </c>
      <c r="C15" s="65">
        <f>VLOOKUP($A15,MasterTable[],C$103,FALSE)</f>
        <v>29618</v>
      </c>
      <c r="D15" s="65">
        <f>VLOOKUP($A15,MasterTable[],D$103,FALSE)</f>
        <v>41082</v>
      </c>
      <c r="E15" s="38">
        <f>VLOOKUP($A15,MasterTable[],E$103,FALSE)</f>
        <v>30081</v>
      </c>
      <c r="F15" s="65">
        <f>VLOOKUP($A15,MasterTable[],F$103,FALSE)</f>
        <v>15849</v>
      </c>
      <c r="G15" s="65">
        <f>VLOOKUP($A15,MasterTable[],G$103,FALSE)</f>
        <v>14232</v>
      </c>
      <c r="H15" s="38">
        <f>VLOOKUP($A15,MasterTable[],H$103,FALSE)</f>
        <v>40619</v>
      </c>
      <c r="I15" s="65">
        <f>VLOOKUP($A15,MasterTable[],I$103,FALSE)</f>
        <v>13769</v>
      </c>
      <c r="J15" s="65">
        <f>VLOOKUP($A15,MasterTable[],J$103,FALSE)</f>
        <v>26850</v>
      </c>
      <c r="K15" s="41">
        <f>VLOOKUP($A15,MasterTable[],K$103,FALSE)</f>
        <v>1940</v>
      </c>
      <c r="L15" s="66">
        <f>VLOOKUP($A15,MasterTable[],L$103,FALSE)</f>
        <v>2.7605048593423168E-2</v>
      </c>
      <c r="M15" s="41">
        <f>VLOOKUP($A15,MasterTable[],M$103,FALSE)</f>
        <v>982</v>
      </c>
      <c r="N15" s="66">
        <f>VLOOKUP($A15,MasterTable[],N$103,FALSE)</f>
        <v>3.2755170113408942E-2</v>
      </c>
      <c r="O15" s="41">
        <f>VLOOKUP($A15,MasterTable[],O$103,FALSE)</f>
        <v>958</v>
      </c>
      <c r="P15" s="66">
        <f>VLOOKUP($A15,MasterTable[],P$103,FALSE)</f>
        <v>2.3773481896915402E-2</v>
      </c>
      <c r="Q15" s="41">
        <f>VLOOKUP($A15,MasterTable[],Q$103,FALSE)</f>
        <v>1432</v>
      </c>
      <c r="R15" s="66">
        <f>VLOOKUP($A15,MasterTable[],R$103,FALSE)</f>
        <v>2.0376510095763904E-2</v>
      </c>
      <c r="S15" s="41">
        <f>VLOOKUP($A15,MasterTable[],S$103,FALSE)</f>
        <v>899</v>
      </c>
      <c r="T15" s="66">
        <f>VLOOKUP($A15,MasterTable[],T$103,FALSE)</f>
        <v>2.9986657771847898E-2</v>
      </c>
      <c r="U15" s="41">
        <f>VLOOKUP($A15,MasterTable[],U$103,FALSE)</f>
        <v>533</v>
      </c>
      <c r="V15" s="66">
        <f>VLOOKUP($A15,MasterTable[],V$103,FALSE)</f>
        <v>1.3226791076258779E-2</v>
      </c>
      <c r="W15" s="64">
        <f>VLOOKUP($A15,MasterTable[],W$103,FALSE)</f>
        <v>508</v>
      </c>
      <c r="X15" s="64">
        <f>VLOOKUP($A15,MasterTable[],X$103,FALSE)</f>
        <v>83</v>
      </c>
      <c r="Y15" s="64">
        <f>VLOOKUP($A15,MasterTable[],Y$103,FALSE)</f>
        <v>425</v>
      </c>
      <c r="Z15" s="41">
        <f>VLOOKUP($A15,MasterTable[],Z$103,FALSE)</f>
        <v>539</v>
      </c>
      <c r="AA15" s="66">
        <f>VLOOKUP($A15,MasterTable[],AA$103,FALSE)</f>
        <v>7.6696500988943754E-3</v>
      </c>
      <c r="AB15" s="41">
        <f>VLOOKUP($A15,MasterTable[],AB$103,FALSE)</f>
        <v>279</v>
      </c>
      <c r="AC15" s="66">
        <f>VLOOKUP($A15,MasterTable[],AC$103,FALSE)</f>
        <v>9.3062041360907274E-3</v>
      </c>
      <c r="AD15" s="41">
        <f>VLOOKUP($A15,MasterTable[],AD$103,FALSE)</f>
        <v>260</v>
      </c>
      <c r="AE15" s="66">
        <f>VLOOKUP($A15,MasterTable[],AE$103,FALSE)</f>
        <v>6.4520932079311115E-3</v>
      </c>
      <c r="AF15" s="41">
        <f>VLOOKUP($A15,MasterTable[],AF$103,FALSE)</f>
        <v>344</v>
      </c>
      <c r="AG15" s="66">
        <f>VLOOKUP($A15,MasterTable[],AG$103,FALSE)</f>
        <v>4.8949158330606028E-3</v>
      </c>
      <c r="AH15" s="41">
        <f>VLOOKUP($A15,MasterTable[],AH$103,FALSE)</f>
        <v>72</v>
      </c>
      <c r="AI15" s="66">
        <f>VLOOKUP($A15,MasterTable[],AI$103,FALSE)</f>
        <v>2.401601067378252E-3</v>
      </c>
      <c r="AJ15" s="41">
        <f>VLOOKUP($A15,MasterTable[],AJ$103,FALSE)</f>
        <v>272</v>
      </c>
      <c r="AK15" s="66">
        <f>VLOOKUP($A15,MasterTable[],AK$103,FALSE)</f>
        <v>6.74988212522024E-3</v>
      </c>
      <c r="AL15" s="41">
        <f>VLOOKUP($A15,MasterTable[],AL$103,FALSE)</f>
        <v>691</v>
      </c>
      <c r="AM15" s="66">
        <f>VLOOKUP($A15,MasterTable[],AM$103,FALSE)</f>
        <v>9.8325198855955722E-3</v>
      </c>
      <c r="AN15" s="41">
        <f>VLOOKUP($A15,MasterTable[],AN$103,FALSE)</f>
        <v>136</v>
      </c>
      <c r="AO15" s="66">
        <f>VLOOKUP($A15,MasterTable[],AO$103,FALSE)</f>
        <v>4.5363575717144765E-3</v>
      </c>
      <c r="AP15" s="41">
        <f>VLOOKUP($A15,MasterTable[],AP$103,FALSE)</f>
        <v>555</v>
      </c>
      <c r="AQ15" s="66">
        <f>VLOOKUP($A15,MasterTable[],AQ$103,FALSE)</f>
        <v>1.377273742462218E-2</v>
      </c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</row>
    <row r="16" spans="1:61" s="84" customFormat="1" ht="20.149999999999999" customHeight="1" x14ac:dyDescent="0.35">
      <c r="A16" s="79" t="s">
        <v>137</v>
      </c>
      <c r="B16" s="38">
        <f>VLOOKUP($A16,MasterTable[],B$103,FALSE)</f>
        <v>70277</v>
      </c>
      <c r="C16" s="65">
        <f>VLOOKUP($A16,MasterTable[],C$103,FALSE)</f>
        <v>29363</v>
      </c>
      <c r="D16" s="65">
        <f>VLOOKUP($A16,MasterTable[],D$103,FALSE)</f>
        <v>40914</v>
      </c>
      <c r="E16" s="38">
        <f>VLOOKUP($A16,MasterTable[],E$103,FALSE)</f>
        <v>29980</v>
      </c>
      <c r="F16" s="65">
        <f>VLOOKUP($A16,MasterTable[],F$103,FALSE)</f>
        <v>15749</v>
      </c>
      <c r="G16" s="65">
        <f>VLOOKUP($A16,MasterTable[],G$103,FALSE)</f>
        <v>14231</v>
      </c>
      <c r="H16" s="38">
        <f>VLOOKUP($A16,MasterTable[],H$103,FALSE)</f>
        <v>40297</v>
      </c>
      <c r="I16" s="65">
        <f>VLOOKUP($A16,MasterTable[],I$103,FALSE)</f>
        <v>13614</v>
      </c>
      <c r="J16" s="65">
        <f>VLOOKUP($A16,MasterTable[],J$103,FALSE)</f>
        <v>26683</v>
      </c>
      <c r="K16" s="41">
        <f>VLOOKUP($A16,MasterTable[],K$103,FALSE)</f>
        <v>1493</v>
      </c>
      <c r="L16" s="66">
        <f>VLOOKUP($A16,MasterTable[],L$103,FALSE)</f>
        <v>2.1248132071443819E-2</v>
      </c>
      <c r="M16" s="41">
        <f>VLOOKUP($A16,MasterTable[],M$103,FALSE)</f>
        <v>676</v>
      </c>
      <c r="N16" s="66">
        <f>VLOOKUP($A16,MasterTable[],N$103,FALSE)</f>
        <v>2.2421970877972736E-2</v>
      </c>
      <c r="O16" s="41">
        <f>VLOOKUP($A16,MasterTable[],O$103,FALSE)</f>
        <v>817</v>
      </c>
      <c r="P16" s="66">
        <f>VLOOKUP($A16,MasterTable[],P$103,FALSE)</f>
        <v>2.0365938777545119E-2</v>
      </c>
      <c r="Q16" s="41">
        <f>VLOOKUP($A16,MasterTable[],Q$103,FALSE)</f>
        <v>1442</v>
      </c>
      <c r="R16" s="66">
        <f>VLOOKUP($A16,MasterTable[],R$103,FALSE)</f>
        <v>2.0522308403899524E-2</v>
      </c>
      <c r="S16" s="41">
        <f>VLOOKUP($A16,MasterTable[],S$103,FALSE)</f>
        <v>969</v>
      </c>
      <c r="T16" s="66">
        <f>VLOOKUP($A16,MasterTable[],T$103,FALSE)</f>
        <v>3.2140369498159141E-2</v>
      </c>
      <c r="U16" s="41">
        <f>VLOOKUP($A16,MasterTable[],U$103,FALSE)</f>
        <v>473</v>
      </c>
      <c r="V16" s="66">
        <f>VLOOKUP($A16,MasterTable[],V$103,FALSE)</f>
        <v>1.1790806660684017E-2</v>
      </c>
      <c r="W16" s="64">
        <f>VLOOKUP($A16,MasterTable[],W$103,FALSE)</f>
        <v>51</v>
      </c>
      <c r="X16" s="64">
        <f>VLOOKUP($A16,MasterTable[],X$103,FALSE)</f>
        <v>-293</v>
      </c>
      <c r="Y16" s="64">
        <f>VLOOKUP($A16,MasterTable[],Y$103,FALSE)</f>
        <v>344</v>
      </c>
      <c r="Z16" s="41">
        <f>VLOOKUP($A16,MasterTable[],Z$103,FALSE)</f>
        <v>458</v>
      </c>
      <c r="AA16" s="66">
        <f>VLOOKUP($A16,MasterTable[],AA$103,FALSE)</f>
        <v>6.5181811712801538E-3</v>
      </c>
      <c r="AB16" s="41">
        <f>VLOOKUP($A16,MasterTable[],AB$103,FALSE)</f>
        <v>234</v>
      </c>
      <c r="AC16" s="66">
        <f>VLOOKUP($A16,MasterTable[],AC$103,FALSE)</f>
        <v>7.7614514577597927E-3</v>
      </c>
      <c r="AD16" s="41">
        <f>VLOOKUP($A16,MasterTable[],AD$103,FALSE)</f>
        <v>224</v>
      </c>
      <c r="AE16" s="66">
        <f>VLOOKUP($A16,MasterTable[],AE$103,FALSE)</f>
        <v>5.583806959816532E-3</v>
      </c>
      <c r="AF16" s="41">
        <f>VLOOKUP($A16,MasterTable[],AF$103,FALSE)</f>
        <v>357</v>
      </c>
      <c r="AG16" s="66">
        <f>VLOOKUP($A16,MasterTable[],AG$103,FALSE)</f>
        <v>5.080765672810076E-3</v>
      </c>
      <c r="AH16" s="41">
        <f>VLOOKUP($A16,MasterTable[],AH$103,FALSE)</f>
        <v>91</v>
      </c>
      <c r="AI16" s="66">
        <f>VLOOKUP($A16,MasterTable[],AI$103,FALSE)</f>
        <v>3.018342233573253E-3</v>
      </c>
      <c r="AJ16" s="41">
        <f>VLOOKUP($A16,MasterTable[],AJ$103,FALSE)</f>
        <v>266</v>
      </c>
      <c r="AK16" s="66">
        <f>VLOOKUP($A16,MasterTable[],AK$103,FALSE)</f>
        <v>6.630770764782132E-3</v>
      </c>
      <c r="AL16" s="41">
        <f>VLOOKUP($A16,MasterTable[],AL$103,FALSE)</f>
        <v>630</v>
      </c>
      <c r="AM16" s="66">
        <f>VLOOKUP($A16,MasterTable[],AM$103,FALSE)</f>
        <v>8.9660570696648411E-3</v>
      </c>
      <c r="AN16" s="41">
        <f>VLOOKUP($A16,MasterTable[],AN$103,FALSE)</f>
        <v>114</v>
      </c>
      <c r="AO16" s="66">
        <f>VLOOKUP($A16,MasterTable[],AO$103,FALSE)</f>
        <v>3.7812199409598991E-3</v>
      </c>
      <c r="AP16" s="41">
        <f>VLOOKUP($A16,MasterTable[],AP$103,FALSE)</f>
        <v>516</v>
      </c>
      <c r="AQ16" s="66">
        <f>VLOOKUP($A16,MasterTable[],AQ$103,FALSE)</f>
        <v>1.2862698175291655E-2</v>
      </c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</row>
    <row r="17" spans="1:61" s="84" customFormat="1" ht="20.149999999999999" customHeight="1" x14ac:dyDescent="0.35">
      <c r="A17" s="79" t="s">
        <v>136</v>
      </c>
      <c r="B17" s="38">
        <f>VLOOKUP($A17,MasterTable[],B$103,FALSE)</f>
        <v>70265</v>
      </c>
      <c r="C17" s="65">
        <f>VLOOKUP($A17,MasterTable[],C$103,FALSE)</f>
        <v>29298</v>
      </c>
      <c r="D17" s="65">
        <f>VLOOKUP($A17,MasterTable[],D$103,FALSE)</f>
        <v>40967</v>
      </c>
      <c r="E17" s="38">
        <f>VLOOKUP($A17,MasterTable[],E$103,FALSE)</f>
        <v>30149</v>
      </c>
      <c r="F17" s="65">
        <f>VLOOKUP($A17,MasterTable[],F$103,FALSE)</f>
        <v>15778</v>
      </c>
      <c r="G17" s="65">
        <f>VLOOKUP($A17,MasterTable[],G$103,FALSE)</f>
        <v>14371</v>
      </c>
      <c r="H17" s="38">
        <f>VLOOKUP($A17,MasterTable[],H$103,FALSE)</f>
        <v>40116</v>
      </c>
      <c r="I17" s="65">
        <f>VLOOKUP($A17,MasterTable[],I$103,FALSE)</f>
        <v>13520</v>
      </c>
      <c r="J17" s="65">
        <f>VLOOKUP($A17,MasterTable[],J$103,FALSE)</f>
        <v>26596</v>
      </c>
      <c r="K17" s="41">
        <f>VLOOKUP($A17,MasterTable[],K$103,FALSE)</f>
        <v>1596</v>
      </c>
      <c r="L17" s="66">
        <f>VLOOKUP($A17,MasterTable[],L$103,FALSE)</f>
        <v>2.2550654195043377E-2</v>
      </c>
      <c r="M17" s="41">
        <f>VLOOKUP($A17,MasterTable[],M$103,FALSE)</f>
        <v>640</v>
      </c>
      <c r="N17" s="66">
        <f>VLOOKUP($A17,MasterTable[],N$103,FALSE)</f>
        <v>2.0800832033281331E-2</v>
      </c>
      <c r="O17" s="41">
        <f>VLOOKUP($A17,MasterTable[],O$103,FALSE)</f>
        <v>956</v>
      </c>
      <c r="P17" s="66">
        <f>VLOOKUP($A17,MasterTable[],P$103,FALSE)</f>
        <v>2.3896415537669351E-2</v>
      </c>
      <c r="Q17" s="41">
        <f>VLOOKUP($A17,MasterTable[],Q$103,FALSE)</f>
        <v>1466</v>
      </c>
      <c r="R17" s="66">
        <f>VLOOKUP($A17,MasterTable[],R$103,FALSE)</f>
        <v>2.0713821459858141E-2</v>
      </c>
      <c r="S17" s="41">
        <f>VLOOKUP($A17,MasterTable[],S$103,FALSE)</f>
        <v>1020</v>
      </c>
      <c r="T17" s="66">
        <f>VLOOKUP($A17,MasterTable[],T$103,FALSE)</f>
        <v>3.3151326053042121E-2</v>
      </c>
      <c r="U17" s="41">
        <f>VLOOKUP($A17,MasterTable[],U$103,FALSE)</f>
        <v>446</v>
      </c>
      <c r="V17" s="66">
        <f>VLOOKUP($A17,MasterTable[],V$103,FALSE)</f>
        <v>1.1148327750837374E-2</v>
      </c>
      <c r="W17" s="64">
        <f>VLOOKUP($A17,MasterTable[],W$103,FALSE)</f>
        <v>130</v>
      </c>
      <c r="X17" s="64">
        <f>VLOOKUP($A17,MasterTable[],X$103,FALSE)</f>
        <v>-380</v>
      </c>
      <c r="Y17" s="64">
        <f>VLOOKUP($A17,MasterTable[],Y$103,FALSE)</f>
        <v>510</v>
      </c>
      <c r="Z17" s="41">
        <f>VLOOKUP($A17,MasterTable[],Z$103,FALSE)</f>
        <v>503</v>
      </c>
      <c r="AA17" s="66">
        <f>VLOOKUP($A17,MasterTable[],AA$103,FALSE)</f>
        <v>7.107129736909034E-3</v>
      </c>
      <c r="AB17" s="41">
        <f>VLOOKUP($A17,MasterTable[],AB$103,FALSE)</f>
        <v>259</v>
      </c>
      <c r="AC17" s="66">
        <f>VLOOKUP($A17,MasterTable[],AC$103,FALSE)</f>
        <v>8.4178367134685392E-3</v>
      </c>
      <c r="AD17" s="41">
        <f>VLOOKUP($A17,MasterTable[],AD$103,FALSE)</f>
        <v>244</v>
      </c>
      <c r="AE17" s="66">
        <f>VLOOKUP($A17,MasterTable[],AE$103,FALSE)</f>
        <v>6.0990851372294159E-3</v>
      </c>
      <c r="AF17" s="41">
        <f>VLOOKUP($A17,MasterTable[],AF$103,FALSE)</f>
        <v>334</v>
      </c>
      <c r="AG17" s="66">
        <f>VLOOKUP($A17,MasterTable[],AG$103,FALSE)</f>
        <v>4.7192471811682256E-3</v>
      </c>
      <c r="AH17" s="41">
        <f>VLOOKUP($A17,MasterTable[],AH$103,FALSE)</f>
        <v>88</v>
      </c>
      <c r="AI17" s="66">
        <f>VLOOKUP($A17,MasterTable[],AI$103,FALSE)</f>
        <v>2.8601144045761829E-3</v>
      </c>
      <c r="AJ17" s="41">
        <f>VLOOKUP($A17,MasterTable[],AJ$103,FALSE)</f>
        <v>246</v>
      </c>
      <c r="AK17" s="66">
        <f>VLOOKUP($A17,MasterTable[],AK$103,FALSE)</f>
        <v>6.1490776383542473E-3</v>
      </c>
      <c r="AL17" s="41">
        <f>VLOOKUP($A17,MasterTable[],AL$103,FALSE)</f>
        <v>637</v>
      </c>
      <c r="AM17" s="66">
        <f>VLOOKUP($A17,MasterTable[],AM$103,FALSE)</f>
        <v>9.0004804024076644E-3</v>
      </c>
      <c r="AN17" s="41">
        <f>VLOOKUP($A17,MasterTable[],AN$103,FALSE)</f>
        <v>125</v>
      </c>
      <c r="AO17" s="66">
        <f>VLOOKUP($A17,MasterTable[],AO$103,FALSE)</f>
        <v>4.06266250650026E-3</v>
      </c>
      <c r="AP17" s="41">
        <f>VLOOKUP($A17,MasterTable[],AP$103,FALSE)</f>
        <v>512</v>
      </c>
      <c r="AQ17" s="66">
        <f>VLOOKUP($A17,MasterTable[],AQ$103,FALSE)</f>
        <v>1.2798080287956806E-2</v>
      </c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</row>
    <row r="18" spans="1:61" s="84" customFormat="1" ht="20.149999999999999" customHeight="1" x14ac:dyDescent="0.35">
      <c r="A18" s="79" t="s">
        <v>135</v>
      </c>
      <c r="B18" s="38">
        <f>VLOOKUP($A18,MasterTable[],B$103,FALSE)</f>
        <v>70774</v>
      </c>
      <c r="C18" s="65">
        <f>VLOOKUP($A18,MasterTable[],C$103,FALSE)</f>
        <v>29658</v>
      </c>
      <c r="D18" s="65">
        <f>VLOOKUP($A18,MasterTable[],D$103,FALSE)</f>
        <v>41116</v>
      </c>
      <c r="E18" s="38">
        <f>VLOOKUP($A18,MasterTable[],E$103,FALSE)</f>
        <v>30768</v>
      </c>
      <c r="F18" s="65">
        <f>VLOOKUP($A18,MasterTable[],F$103,FALSE)</f>
        <v>16176</v>
      </c>
      <c r="G18" s="65">
        <f>VLOOKUP($A18,MasterTable[],G$103,FALSE)</f>
        <v>14592</v>
      </c>
      <c r="H18" s="38">
        <f>VLOOKUP($A18,MasterTable[],H$103,FALSE)</f>
        <v>40006</v>
      </c>
      <c r="I18" s="65">
        <f>VLOOKUP($A18,MasterTable[],I$103,FALSE)</f>
        <v>13482</v>
      </c>
      <c r="J18" s="65">
        <f>VLOOKUP($A18,MasterTable[],J$103,FALSE)</f>
        <v>26524</v>
      </c>
      <c r="K18" s="41">
        <f>VLOOKUP($A18,MasterTable[],K$103,FALSE)</f>
        <v>1309</v>
      </c>
      <c r="L18" s="66">
        <f>VLOOKUP($A18,MasterTable[],L$103,FALSE)</f>
        <v>1.8497583585337592E-2</v>
      </c>
      <c r="M18" s="41">
        <f>VLOOKUP($A18,MasterTable[],M$103,FALSE)</f>
        <v>668</v>
      </c>
      <c r="N18" s="66">
        <f>VLOOKUP($A18,MasterTable[],N$103,FALSE)</f>
        <v>2.1644741105566717E-2</v>
      </c>
      <c r="O18" s="41">
        <f>VLOOKUP($A18,MasterTable[],O$103,FALSE)</f>
        <v>641</v>
      </c>
      <c r="P18" s="66">
        <f>VLOOKUP($A18,MasterTable[],P$103,FALSE)</f>
        <v>1.6063552526062549E-2</v>
      </c>
      <c r="Q18" s="41">
        <f>VLOOKUP($A18,MasterTable[],Q$103,FALSE)</f>
        <v>1421</v>
      </c>
      <c r="R18" s="66">
        <f>VLOOKUP($A18,MasterTable[],R$103,FALSE)</f>
        <v>2.0080264533815673E-2</v>
      </c>
      <c r="S18" s="41">
        <f>VLOOKUP($A18,MasterTable[],S$103,FALSE)</f>
        <v>939</v>
      </c>
      <c r="T18" s="66">
        <f>VLOOKUP($A18,MasterTable[],T$103,FALSE)</f>
        <v>3.0425766314561595E-2</v>
      </c>
      <c r="U18" s="41">
        <f>VLOOKUP($A18,MasterTable[],U$103,FALSE)</f>
        <v>482</v>
      </c>
      <c r="V18" s="66">
        <f>VLOOKUP($A18,MasterTable[],V$103,FALSE)</f>
        <v>1.2078989574979953E-2</v>
      </c>
      <c r="W18" s="64">
        <f>VLOOKUP($A18,MasterTable[],W$103,FALSE)</f>
        <v>-112</v>
      </c>
      <c r="X18" s="64">
        <f>VLOOKUP($A18,MasterTable[],X$103,FALSE)</f>
        <v>-271</v>
      </c>
      <c r="Y18" s="64">
        <f>VLOOKUP($A18,MasterTable[],Y$103,FALSE)</f>
        <v>159</v>
      </c>
      <c r="Z18" s="41">
        <f>VLOOKUP($A18,MasterTable[],Z$103,FALSE)</f>
        <v>665</v>
      </c>
      <c r="AA18" s="66">
        <f>VLOOKUP($A18,MasterTable[],AA$103,FALSE)</f>
        <v>9.3971681315886159E-3</v>
      </c>
      <c r="AB18" s="41">
        <f>VLOOKUP($A18,MasterTable[],AB$103,FALSE)</f>
        <v>351</v>
      </c>
      <c r="AC18" s="66">
        <f>VLOOKUP($A18,MasterTable[],AC$103,FALSE)</f>
        <v>1.1373209772535805E-2</v>
      </c>
      <c r="AD18" s="41">
        <f>VLOOKUP($A18,MasterTable[],AD$103,FALSE)</f>
        <v>314</v>
      </c>
      <c r="AE18" s="66">
        <f>VLOOKUP($A18,MasterTable[],AE$103,FALSE)</f>
        <v>7.8688853247794715E-3</v>
      </c>
      <c r="AF18" s="41">
        <f>VLOOKUP($A18,MasterTable[],AF$103,FALSE)</f>
        <v>264</v>
      </c>
      <c r="AG18" s="66">
        <f>VLOOKUP($A18,MasterTable[],AG$103,FALSE)</f>
        <v>3.7306050928411949E-3</v>
      </c>
      <c r="AH18" s="41">
        <f>VLOOKUP($A18,MasterTable[],AH$103,FALSE)</f>
        <v>64</v>
      </c>
      <c r="AI18" s="66">
        <f>VLOOKUP($A18,MasterTable[],AI$103,FALSE)</f>
        <v>2.0737476508327392E-3</v>
      </c>
      <c r="AJ18" s="41">
        <f>VLOOKUP($A18,MasterTable[],AJ$103,FALSE)</f>
        <v>200</v>
      </c>
      <c r="AK18" s="66">
        <f>VLOOKUP($A18,MasterTable[],AK$103,FALSE)</f>
        <v>5.012028869286287E-3</v>
      </c>
      <c r="AL18" s="41">
        <f>VLOOKUP($A18,MasterTable[],AL$103,FALSE)</f>
        <v>564</v>
      </c>
      <c r="AM18" s="66">
        <f>VLOOKUP($A18,MasterTable[],AM$103,FALSE)</f>
        <v>7.9699290619789157E-3</v>
      </c>
      <c r="AN18" s="41">
        <f>VLOOKUP($A18,MasterTable[],AN$103,FALSE)</f>
        <v>121</v>
      </c>
      <c r="AO18" s="66">
        <f>VLOOKUP($A18,MasterTable[],AO$103,FALSE)</f>
        <v>3.9206791523556479E-3</v>
      </c>
      <c r="AP18" s="41">
        <f>VLOOKUP($A18,MasterTable[],AP$103,FALSE)</f>
        <v>443</v>
      </c>
      <c r="AQ18" s="66">
        <f>VLOOKUP($A18,MasterTable[],AQ$103,FALSE)</f>
        <v>1.1101643945469126E-2</v>
      </c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</row>
    <row r="19" spans="1:61" s="84" customFormat="1" ht="20.149999999999999" customHeight="1" x14ac:dyDescent="0.35">
      <c r="A19" s="79" t="s">
        <v>134</v>
      </c>
      <c r="B19" s="38">
        <f>VLOOKUP($A19,MasterTable[],B$103,FALSE)</f>
        <v>70766</v>
      </c>
      <c r="C19" s="65">
        <f>VLOOKUP($A19,MasterTable[],C$103,FALSE)</f>
        <v>29588</v>
      </c>
      <c r="D19" s="65">
        <f>VLOOKUP($A19,MasterTable[],D$103,FALSE)</f>
        <v>41178</v>
      </c>
      <c r="E19" s="38">
        <f>VLOOKUP($A19,MasterTable[],E$103,FALSE)</f>
        <v>30862</v>
      </c>
      <c r="F19" s="65">
        <f>VLOOKUP($A19,MasterTable[],F$103,FALSE)</f>
        <v>16255</v>
      </c>
      <c r="G19" s="65">
        <f>VLOOKUP($A19,MasterTable[],G$103,FALSE)</f>
        <v>14607</v>
      </c>
      <c r="H19" s="38">
        <f>VLOOKUP($A19,MasterTable[],H$103,FALSE)</f>
        <v>39904</v>
      </c>
      <c r="I19" s="65">
        <f>VLOOKUP($A19,MasterTable[],I$103,FALSE)</f>
        <v>13333</v>
      </c>
      <c r="J19" s="65">
        <f>VLOOKUP($A19,MasterTable[],J$103,FALSE)</f>
        <v>26571</v>
      </c>
      <c r="K19" s="41">
        <f>VLOOKUP($A19,MasterTable[],K$103,FALSE)</f>
        <v>3050</v>
      </c>
      <c r="L19" s="66">
        <f>VLOOKUP($A19,MasterTable[],L$103,FALSE)</f>
        <v>4.3992499639405741E-2</v>
      </c>
      <c r="M19" s="41">
        <f>VLOOKUP($A19,MasterTable[],M$103,FALSE)</f>
        <v>2011</v>
      </c>
      <c r="N19" s="66">
        <f>VLOOKUP($A19,MasterTable[],N$103,FALSE)</f>
        <v>6.7329583500736576E-2</v>
      </c>
      <c r="O19" s="41">
        <f>VLOOKUP($A19,MasterTable[],O$103,FALSE)</f>
        <v>1039</v>
      </c>
      <c r="P19" s="66">
        <f>VLOOKUP($A19,MasterTable[],P$103,FALSE)</f>
        <v>2.6329126754852768E-2</v>
      </c>
      <c r="Q19" s="41">
        <f>VLOOKUP($A19,MasterTable[],Q$103,FALSE)</f>
        <v>1677</v>
      </c>
      <c r="R19" s="66">
        <f>VLOOKUP($A19,MasterTable[],R$103,FALSE)</f>
        <v>2.4188662916486369E-2</v>
      </c>
      <c r="S19" s="41">
        <f>VLOOKUP($A19,MasterTable[],S$103,FALSE)</f>
        <v>1233</v>
      </c>
      <c r="T19" s="66">
        <f>VLOOKUP($A19,MasterTable[],T$103,FALSE)</f>
        <v>4.1281639212535158E-2</v>
      </c>
      <c r="U19" s="41">
        <f>VLOOKUP($A19,MasterTable[],U$103,FALSE)</f>
        <v>444</v>
      </c>
      <c r="V19" s="66">
        <f>VLOOKUP($A19,MasterTable[],V$103,FALSE)</f>
        <v>1.1251330393796563E-2</v>
      </c>
      <c r="W19" s="64">
        <f>VLOOKUP($A19,MasterTable[],W$103,FALSE)</f>
        <v>1373</v>
      </c>
      <c r="X19" s="64">
        <f>VLOOKUP($A19,MasterTable[],X$103,FALSE)</f>
        <v>778</v>
      </c>
      <c r="Y19" s="64">
        <f>VLOOKUP($A19,MasterTable[],Y$103,FALSE)</f>
        <v>595</v>
      </c>
      <c r="Z19" s="41">
        <f>VLOOKUP($A19,MasterTable[],Z$103,FALSE)</f>
        <v>453</v>
      </c>
      <c r="AA19" s="66">
        <f>VLOOKUP($A19,MasterTable[],AA$103,FALSE)</f>
        <v>6.533967979229771E-3</v>
      </c>
      <c r="AB19" s="41">
        <f>VLOOKUP($A19,MasterTable[],AB$103,FALSE)</f>
        <v>209</v>
      </c>
      <c r="AC19" s="66">
        <f>VLOOKUP($A19,MasterTable[],AC$103,FALSE)</f>
        <v>6.9974554707379136E-3</v>
      </c>
      <c r="AD19" s="41">
        <f>VLOOKUP($A19,MasterTable[],AD$103,FALSE)</f>
        <v>244</v>
      </c>
      <c r="AE19" s="66">
        <f>VLOOKUP($A19,MasterTable[],AE$103,FALSE)</f>
        <v>6.1831635497440578E-3</v>
      </c>
      <c r="AF19" s="41">
        <f>VLOOKUP($A19,MasterTable[],AF$103,FALSE)</f>
        <v>394</v>
      </c>
      <c r="AG19" s="66">
        <f>VLOOKUP($A19,MasterTable[],AG$103,FALSE)</f>
        <v>5.6829655271888073E-3</v>
      </c>
      <c r="AH19" s="41">
        <f>VLOOKUP($A19,MasterTable[],AH$103,FALSE)</f>
        <v>102</v>
      </c>
      <c r="AI19" s="66">
        <f>VLOOKUP($A19,MasterTable[],AI$103,FALSE)</f>
        <v>3.4150261149055844E-3</v>
      </c>
      <c r="AJ19" s="41">
        <f>VLOOKUP($A19,MasterTable[],AJ$103,FALSE)</f>
        <v>292</v>
      </c>
      <c r="AK19" s="66">
        <f>VLOOKUP($A19,MasterTable[],AK$103,FALSE)</f>
        <v>7.3995235923166591E-3</v>
      </c>
      <c r="AL19" s="41">
        <f>VLOOKUP($A19,MasterTable[],AL$103,FALSE)</f>
        <v>732</v>
      </c>
      <c r="AM19" s="66">
        <f>VLOOKUP($A19,MasterTable[],AM$103,FALSE)</f>
        <v>1.0558199913457378E-2</v>
      </c>
      <c r="AN19" s="41">
        <f>VLOOKUP($A19,MasterTable[],AN$103,FALSE)</f>
        <v>146</v>
      </c>
      <c r="AO19" s="66">
        <f>VLOOKUP($A19,MasterTable[],AO$103,FALSE)</f>
        <v>4.8881746350609347E-3</v>
      </c>
      <c r="AP19" s="41">
        <f>VLOOKUP($A19,MasterTable[],AP$103,FALSE)</f>
        <v>586</v>
      </c>
      <c r="AQ19" s="66">
        <f>VLOOKUP($A19,MasterTable[],AQ$103,FALSE)</f>
        <v>1.4849728853073844E-2</v>
      </c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</row>
    <row r="20" spans="1:61" s="84" customFormat="1" ht="20.149999999999999" customHeight="1" x14ac:dyDescent="0.35">
      <c r="A20" s="79" t="s">
        <v>90</v>
      </c>
      <c r="B20" s="38">
        <f>VLOOKUP($A20,MasterTable[],B$103,FALSE)</f>
        <v>69330</v>
      </c>
      <c r="C20" s="65">
        <f>VLOOKUP($A20,MasterTable[],C$103,FALSE)</f>
        <v>28240</v>
      </c>
      <c r="D20" s="65">
        <f>VLOOKUP($A20,MasterTable[],D$103,FALSE)</f>
        <v>41090</v>
      </c>
      <c r="E20" s="38">
        <f>VLOOKUP($A20,MasterTable[],E$103,FALSE)</f>
        <v>29868</v>
      </c>
      <c r="F20" s="65">
        <f>VLOOKUP($A20,MasterTable[],F$103,FALSE)</f>
        <v>15088</v>
      </c>
      <c r="G20" s="65">
        <f>VLOOKUP($A20,MasterTable[],G$103,FALSE)</f>
        <v>14780</v>
      </c>
      <c r="H20" s="38">
        <f>VLOOKUP($A20,MasterTable[],H$103,FALSE)</f>
        <v>39462</v>
      </c>
      <c r="I20" s="65">
        <f>VLOOKUP($A20,MasterTable[],I$103,FALSE)</f>
        <v>13152</v>
      </c>
      <c r="J20" s="65">
        <f>VLOOKUP($A20,MasterTable[],J$103,FALSE)</f>
        <v>26310</v>
      </c>
      <c r="K20" s="41">
        <f>VLOOKUP($A20,MasterTable[],K$103,FALSE)</f>
        <v>2893</v>
      </c>
      <c r="L20" s="66">
        <f>VLOOKUP($A20,MasterTable[],L$103,FALSE)</f>
        <v>4.2751588591694992E-2</v>
      </c>
      <c r="M20" s="41">
        <f>VLOOKUP($A20,MasterTable[],M$103,FALSE)</f>
        <v>2249</v>
      </c>
      <c r="N20" s="66">
        <f>VLOOKUP($A20,MasterTable[],N$103,FALSE)</f>
        <v>7.9845208932438669E-2</v>
      </c>
      <c r="O20" s="41">
        <f>VLOOKUP($A20,MasterTable[],O$103,FALSE)</f>
        <v>644</v>
      </c>
      <c r="P20" s="66">
        <f>VLOOKUP($A20,MasterTable[],P$103,FALSE)</f>
        <v>1.6302559299293723E-2</v>
      </c>
      <c r="Q20" s="41">
        <f>VLOOKUP($A20,MasterTable[],Q$103,FALSE)</f>
        <v>1212</v>
      </c>
      <c r="R20" s="66">
        <f>VLOOKUP($A20,MasterTable[],R$103,FALSE)</f>
        <v>1.7910447761194031E-2</v>
      </c>
      <c r="S20" s="41">
        <f>VLOOKUP($A20,MasterTable[],S$103,FALSE)</f>
        <v>752</v>
      </c>
      <c r="T20" s="66">
        <f>VLOOKUP($A20,MasterTable[],T$103,FALSE)</f>
        <v>2.6697908900486386E-2</v>
      </c>
      <c r="U20" s="41">
        <f>VLOOKUP($A20,MasterTable[],U$103,FALSE)</f>
        <v>460</v>
      </c>
      <c r="V20" s="66">
        <f>VLOOKUP($A20,MasterTable[],V$103,FALSE)</f>
        <v>1.1644685213781232E-2</v>
      </c>
      <c r="W20" s="64">
        <f>VLOOKUP($A20,MasterTable[],W$103,FALSE)</f>
        <v>1681</v>
      </c>
      <c r="X20" s="64">
        <f>VLOOKUP($A20,MasterTable[],X$103,FALSE)</f>
        <v>1497</v>
      </c>
      <c r="Y20" s="64">
        <f>VLOOKUP($A20,MasterTable[],Y$103,FALSE)</f>
        <v>184</v>
      </c>
      <c r="Z20" s="41">
        <f>VLOOKUP($A20,MasterTable[],Z$103,FALSE)</f>
        <v>494</v>
      </c>
      <c r="AA20" s="66">
        <f>VLOOKUP($A20,MasterTable[],AA$103,FALSE)</f>
        <v>7.3001329983744647E-3</v>
      </c>
      <c r="AB20" s="41">
        <f>VLOOKUP($A20,MasterTable[],AB$103,FALSE)</f>
        <v>209</v>
      </c>
      <c r="AC20" s="66">
        <f>VLOOKUP($A20,MasterTable[],AC$103,FALSE)</f>
        <v>7.4200305321830513E-3</v>
      </c>
      <c r="AD20" s="41">
        <f>VLOOKUP($A20,MasterTable[],AD$103,FALSE)</f>
        <v>285</v>
      </c>
      <c r="AE20" s="66">
        <f>VLOOKUP($A20,MasterTable[],AE$103,FALSE)</f>
        <v>7.2146419259296766E-3</v>
      </c>
      <c r="AF20" s="41">
        <f>VLOOKUP($A20,MasterTable[],AF$103,FALSE)</f>
        <v>248</v>
      </c>
      <c r="AG20" s="66">
        <f>VLOOKUP($A20,MasterTable[],AG$103,FALSE)</f>
        <v>3.6648440963499337E-3</v>
      </c>
      <c r="AH20" s="41">
        <f>VLOOKUP($A20,MasterTable[],AH$103,FALSE)</f>
        <v>67</v>
      </c>
      <c r="AI20" s="66">
        <f>VLOOKUP($A20,MasterTable[],AI$103,FALSE)</f>
        <v>2.378670074910356E-3</v>
      </c>
      <c r="AJ20" s="41">
        <f>VLOOKUP($A20,MasterTable[],AJ$103,FALSE)</f>
        <v>181</v>
      </c>
      <c r="AK20" s="66">
        <f>VLOOKUP($A20,MasterTable[],AK$103,FALSE)</f>
        <v>4.5819304862921807E-3</v>
      </c>
      <c r="AL20" s="41">
        <f>VLOOKUP($A20,MasterTable[],AL$103,FALSE)</f>
        <v>476</v>
      </c>
      <c r="AM20" s="66">
        <f>VLOOKUP($A20,MasterTable[],AM$103,FALSE)</f>
        <v>7.0341362494458397E-3</v>
      </c>
      <c r="AN20" s="41">
        <f>VLOOKUP($A20,MasterTable[],AN$103,FALSE)</f>
        <v>119</v>
      </c>
      <c r="AO20" s="66">
        <f>VLOOKUP($A20,MasterTable[],AO$103,FALSE)</f>
        <v>4.2248020733482447E-3</v>
      </c>
      <c r="AP20" s="41">
        <f>VLOOKUP($A20,MasterTable[],AP$103,FALSE)</f>
        <v>357</v>
      </c>
      <c r="AQ20" s="66">
        <f>VLOOKUP($A20,MasterTable[],AQ$103,FALSE)</f>
        <v>9.0372883072171728E-3</v>
      </c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</row>
    <row r="21" spans="1:61" s="84" customFormat="1" ht="20.149999999999999" customHeight="1" x14ac:dyDescent="0.35">
      <c r="A21" s="79" t="s">
        <v>68</v>
      </c>
      <c r="B21" s="38">
        <f>VLOOKUP($A21,MasterTable[],B$103,FALSE)</f>
        <v>67670</v>
      </c>
      <c r="C21" s="65">
        <f>VLOOKUP($A21,MasterTable[],C$103,FALSE)</f>
        <v>27518</v>
      </c>
      <c r="D21" s="65">
        <f>VLOOKUP($A21,MasterTable[],D$103,FALSE)</f>
        <v>40152</v>
      </c>
      <c r="E21" s="38">
        <f>VLOOKUP($A21,MasterTable[],E$103,FALSE)</f>
        <v>28167</v>
      </c>
      <c r="F21" s="65">
        <f>VLOOKUP($A21,MasterTable[],F$103,FALSE)</f>
        <v>14372</v>
      </c>
      <c r="G21" s="65">
        <f>VLOOKUP($A21,MasterTable[],G$103,FALSE)</f>
        <v>13795</v>
      </c>
      <c r="H21" s="38">
        <f>VLOOKUP($A21,MasterTable[],H$103,FALSE)</f>
        <v>39503</v>
      </c>
      <c r="I21" s="65">
        <f>VLOOKUP($A21,MasterTable[],I$103,FALSE)</f>
        <v>13146</v>
      </c>
      <c r="J21" s="65">
        <f>VLOOKUP($A21,MasterTable[],J$103,FALSE)</f>
        <v>26357</v>
      </c>
      <c r="K21" s="41">
        <f>VLOOKUP($A21,MasterTable[],K$103,FALSE)</f>
        <v>1804</v>
      </c>
      <c r="L21" s="66">
        <f>VLOOKUP($A21,MasterTable[],L$103,FALSE)</f>
        <v>2.6773920657771708E-2</v>
      </c>
      <c r="M21" s="41">
        <f>VLOOKUP($A21,MasterTable[],M$103,FALSE)</f>
        <v>977</v>
      </c>
      <c r="N21" s="66">
        <f>VLOOKUP($A21,MasterTable[],N$103,FALSE)</f>
        <v>3.5127458382770649E-2</v>
      </c>
      <c r="O21" s="41">
        <f>VLOOKUP($A21,MasterTable[],O$103,FALSE)</f>
        <v>827</v>
      </c>
      <c r="P21" s="66">
        <f>VLOOKUP($A21,MasterTable[],P$103,FALSE)</f>
        <v>2.0901784360309355E-2</v>
      </c>
      <c r="Q21" s="41">
        <f>VLOOKUP($A21,MasterTable[],Q$103,FALSE)</f>
        <v>1083</v>
      </c>
      <c r="R21" s="66">
        <f>VLOOKUP($A21,MasterTable[],R$103,FALSE)</f>
        <v>1.6073257246323039E-2</v>
      </c>
      <c r="S21" s="41">
        <f>VLOOKUP($A21,MasterTable[],S$103,FALSE)</f>
        <v>585</v>
      </c>
      <c r="T21" s="66">
        <f>VLOOKUP($A21,MasterTable[],T$103,FALSE)</f>
        <v>2.1033329737892351E-2</v>
      </c>
      <c r="U21" s="41">
        <f>VLOOKUP($A21,MasterTable[],U$103,FALSE)</f>
        <v>498</v>
      </c>
      <c r="V21" s="66">
        <f>VLOOKUP($A21,MasterTable[],V$103,FALSE)</f>
        <v>1.2586564221806602E-2</v>
      </c>
      <c r="W21" s="64">
        <f>VLOOKUP($A21,MasterTable[],W$103,FALSE)</f>
        <v>721</v>
      </c>
      <c r="X21" s="64">
        <f>VLOOKUP($A21,MasterTable[],X$103,FALSE)</f>
        <v>392</v>
      </c>
      <c r="Y21" s="64">
        <f>VLOOKUP($A21,MasterTable[],Y$103,FALSE)</f>
        <v>329</v>
      </c>
      <c r="Z21" s="41">
        <f>VLOOKUP($A21,MasterTable[],Z$103,FALSE)</f>
        <v>650</v>
      </c>
      <c r="AA21" s="66">
        <f>VLOOKUP($A21,MasterTable[],AA$103,FALSE)</f>
        <v>9.6469226316804931E-3</v>
      </c>
      <c r="AB21" s="41">
        <f>VLOOKUP($A21,MasterTable[],AB$103,FALSE)</f>
        <v>331</v>
      </c>
      <c r="AC21" s="66">
        <f>VLOOKUP($A21,MasterTable[],AC$103,FALSE)</f>
        <v>1.1900909646568151E-2</v>
      </c>
      <c r="AD21" s="41">
        <f>VLOOKUP($A21,MasterTable[],AD$103,FALSE)</f>
        <v>319</v>
      </c>
      <c r="AE21" s="66">
        <f>VLOOKUP($A21,MasterTable[],AE$103,FALSE)</f>
        <v>8.0624778850528229E-3</v>
      </c>
      <c r="AF21" s="41">
        <f>VLOOKUP($A21,MasterTable[],AF$103,FALSE)</f>
        <v>314</v>
      </c>
      <c r="AG21" s="66">
        <f>VLOOKUP($A21,MasterTable[],AG$103,FALSE)</f>
        <v>4.6602057020733462E-3</v>
      </c>
      <c r="AH21" s="41">
        <f>VLOOKUP($A21,MasterTable[],AH$103,FALSE)</f>
        <v>88</v>
      </c>
      <c r="AI21" s="66">
        <f>VLOOKUP($A21,MasterTable[],AI$103,FALSE)</f>
        <v>3.1639880631359435E-3</v>
      </c>
      <c r="AJ21" s="41">
        <f>VLOOKUP($A21,MasterTable[],AJ$103,FALSE)</f>
        <v>226</v>
      </c>
      <c r="AK21" s="66">
        <f>VLOOKUP($A21,MasterTable[],AK$103,FALSE)</f>
        <v>5.711974927968458E-3</v>
      </c>
      <c r="AL21" s="41">
        <f>VLOOKUP($A21,MasterTable[],AL$103,FALSE)</f>
        <v>624</v>
      </c>
      <c r="AM21" s="66">
        <f>VLOOKUP($A21,MasterTable[],AM$103,FALSE)</f>
        <v>9.261045726413274E-3</v>
      </c>
      <c r="AN21" s="41">
        <f>VLOOKUP($A21,MasterTable[],AN$103,FALSE)</f>
        <v>138</v>
      </c>
      <c r="AO21" s="66">
        <f>VLOOKUP($A21,MasterTable[],AO$103,FALSE)</f>
        <v>4.9617085535540936E-3</v>
      </c>
      <c r="AP21" s="41">
        <f>VLOOKUP($A21,MasterTable[],AP$103,FALSE)</f>
        <v>486</v>
      </c>
      <c r="AQ21" s="66">
        <f>VLOOKUP($A21,MasterTable[],AQ$103,FALSE)</f>
        <v>1.2283273517666683E-2</v>
      </c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</row>
    <row r="22" spans="1:61" s="84" customFormat="1" ht="20.149999999999999" customHeight="1" x14ac:dyDescent="0.35">
      <c r="A22" s="79" t="s">
        <v>67</v>
      </c>
      <c r="B22" s="38">
        <f>VLOOKUP($A22,MasterTable[],B$103,FALSE)</f>
        <v>67379</v>
      </c>
      <c r="C22" s="65">
        <f>VLOOKUP($A22,MasterTable[],C$103,FALSE)</f>
        <v>27500</v>
      </c>
      <c r="D22" s="65">
        <f>VLOOKUP($A22,MasterTable[],D$103,FALSE)</f>
        <v>39879</v>
      </c>
      <c r="E22" s="38">
        <f>VLOOKUP($A22,MasterTable[],E$103,FALSE)</f>
        <v>27813</v>
      </c>
      <c r="F22" s="65">
        <f>VLOOKUP($A22,MasterTable[],F$103,FALSE)</f>
        <v>14322</v>
      </c>
      <c r="G22" s="65">
        <f>VLOOKUP($A22,MasterTable[],G$103,FALSE)</f>
        <v>13491</v>
      </c>
      <c r="H22" s="38">
        <f>VLOOKUP($A22,MasterTable[],H$103,FALSE)</f>
        <v>39566</v>
      </c>
      <c r="I22" s="65">
        <f>VLOOKUP($A22,MasterTable[],I$103,FALSE)</f>
        <v>13178</v>
      </c>
      <c r="J22" s="65">
        <f>VLOOKUP($A22,MasterTable[],J$103,FALSE)</f>
        <v>26388</v>
      </c>
      <c r="K22" s="41">
        <f>VLOOKUP($A22,MasterTable[],K$103,FALSE)</f>
        <v>1138</v>
      </c>
      <c r="L22" s="66">
        <f>VLOOKUP($A22,MasterTable[],L$103,FALSE)</f>
        <v>1.7231458768662368E-2</v>
      </c>
      <c r="M22" s="41">
        <f>VLOOKUP($A22,MasterTable[],M$103,FALSE)</f>
        <v>415</v>
      </c>
      <c r="N22" s="66">
        <f>VLOOKUP($A22,MasterTable[],N$103,FALSE)</f>
        <v>1.5006870615462501E-2</v>
      </c>
      <c r="O22" s="41">
        <f>VLOOKUP($A22,MasterTable[],O$103,FALSE)</f>
        <v>723</v>
      </c>
      <c r="P22" s="66">
        <f>VLOOKUP($A22,MasterTable[],P$103,FALSE)</f>
        <v>1.8834010628321352E-2</v>
      </c>
      <c r="Q22" s="41">
        <f>VLOOKUP($A22,MasterTable[],Q$103,FALSE)</f>
        <v>1052</v>
      </c>
      <c r="R22" s="66">
        <f>VLOOKUP($A22,MasterTable[],R$103,FALSE)</f>
        <v>1.5929257139396143E-2</v>
      </c>
      <c r="S22" s="41">
        <f>VLOOKUP($A22,MasterTable[],S$103,FALSE)</f>
        <v>584</v>
      </c>
      <c r="T22" s="66">
        <f>VLOOKUP($A22,MasterTable[],T$103,FALSE)</f>
        <v>2.1118102263686989E-2</v>
      </c>
      <c r="U22" s="41">
        <f>VLOOKUP($A22,MasterTable[],U$103,FALSE)</f>
        <v>468</v>
      </c>
      <c r="V22" s="66">
        <f>VLOOKUP($A22,MasterTable[],V$103,FALSE)</f>
        <v>1.2191309784307595E-2</v>
      </c>
      <c r="W22" s="64">
        <f>VLOOKUP($A22,MasterTable[],W$103,FALSE)</f>
        <v>86</v>
      </c>
      <c r="X22" s="64">
        <f>VLOOKUP($A22,MasterTable[],X$103,FALSE)</f>
        <v>-169</v>
      </c>
      <c r="Y22" s="64">
        <f>VLOOKUP($A22,MasterTable[],Y$103,FALSE)</f>
        <v>255</v>
      </c>
      <c r="Z22" s="41">
        <f>VLOOKUP($A22,MasterTable[],Z$103,FALSE)</f>
        <v>622</v>
      </c>
      <c r="AA22" s="66">
        <f>VLOOKUP($A22,MasterTable[],AA$103,FALSE)</f>
        <v>9.4182489930650197E-3</v>
      </c>
      <c r="AB22" s="41">
        <f>VLOOKUP($A22,MasterTable[],AB$103,FALSE)</f>
        <v>331</v>
      </c>
      <c r="AC22" s="66">
        <f>VLOOKUP($A22,MasterTable[],AC$103,FALSE)</f>
        <v>1.1969335358356838E-2</v>
      </c>
      <c r="AD22" s="41">
        <f>VLOOKUP($A22,MasterTable[],AD$103,FALSE)</f>
        <v>291</v>
      </c>
      <c r="AE22" s="66">
        <f>VLOOKUP($A22,MasterTable[],AE$103,FALSE)</f>
        <v>7.5804939043451081E-3</v>
      </c>
      <c r="AF22" s="41">
        <f>VLOOKUP($A22,MasterTable[],AF$103,FALSE)</f>
        <v>295</v>
      </c>
      <c r="AG22" s="66">
        <f>VLOOKUP($A22,MasterTable[],AG$103,FALSE)</f>
        <v>4.4668544259713512E-3</v>
      </c>
      <c r="AH22" s="41">
        <f>VLOOKUP($A22,MasterTable[],AH$103,FALSE)</f>
        <v>65</v>
      </c>
      <c r="AI22" s="66">
        <f>VLOOKUP($A22,MasterTable[],AI$103,FALSE)</f>
        <v>2.3504737108555724E-3</v>
      </c>
      <c r="AJ22" s="41">
        <f>VLOOKUP($A22,MasterTable[],AJ$103,FALSE)</f>
        <v>230</v>
      </c>
      <c r="AK22" s="66">
        <f>VLOOKUP($A22,MasterTable[],AK$103,FALSE)</f>
        <v>5.9914556632280919E-3</v>
      </c>
      <c r="AL22" s="41">
        <f>VLOOKUP($A22,MasterTable[],AL$103,FALSE)</f>
        <v>584</v>
      </c>
      <c r="AM22" s="66">
        <f>VLOOKUP($A22,MasterTable[],AM$103,FALSE)</f>
        <v>8.8428575754822686E-3</v>
      </c>
      <c r="AN22" s="41">
        <f>VLOOKUP($A22,MasterTable[],AN$103,FALSE)</f>
        <v>110</v>
      </c>
      <c r="AO22" s="66">
        <f>VLOOKUP($A22,MasterTable[],AO$103,FALSE)</f>
        <v>3.977724741447892E-3</v>
      </c>
      <c r="AP22" s="41">
        <f>VLOOKUP($A22,MasterTable[],AP$103,FALSE)</f>
        <v>474</v>
      </c>
      <c r="AQ22" s="66">
        <f>VLOOKUP($A22,MasterTable[],AQ$103,FALSE)</f>
        <v>1.2347608627696155E-2</v>
      </c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</row>
    <row r="23" spans="1:61" s="84" customFormat="1" ht="20.149999999999999" customHeight="1" x14ac:dyDescent="0.35">
      <c r="A23" s="79" t="s">
        <v>66</v>
      </c>
      <c r="B23" s="38">
        <f>VLOOKUP($A23,MasterTable[],B$103,FALSE)</f>
        <v>66042</v>
      </c>
      <c r="C23" s="65">
        <f>VLOOKUP($A23,MasterTable[],C$103,FALSE)</f>
        <v>26356</v>
      </c>
      <c r="D23" s="65">
        <f>VLOOKUP($A23,MasterTable[],D$103,FALSE)</f>
        <v>39686</v>
      </c>
      <c r="E23" s="38">
        <f>VLOOKUP($A23,MasterTable[],E$103,FALSE)</f>
        <v>27654</v>
      </c>
      <c r="F23" s="65">
        <f>VLOOKUP($A23,MasterTable[],F$103,FALSE)</f>
        <v>14271</v>
      </c>
      <c r="G23" s="65">
        <f>VLOOKUP($A23,MasterTable[],G$103,FALSE)</f>
        <v>13383</v>
      </c>
      <c r="H23" s="38">
        <f>VLOOKUP($A23,MasterTable[],H$103,FALSE)</f>
        <v>38388</v>
      </c>
      <c r="I23" s="65">
        <f>VLOOKUP($A23,MasterTable[],I$103,FALSE)</f>
        <v>12085</v>
      </c>
      <c r="J23" s="65">
        <f>VLOOKUP($A23,MasterTable[],J$103,FALSE)</f>
        <v>26303</v>
      </c>
      <c r="K23" s="41">
        <f>VLOOKUP($A23,MasterTable[],K$103,FALSE)</f>
        <v>1846</v>
      </c>
      <c r="L23" s="66">
        <f>VLOOKUP($A23,MasterTable[],L$103,FALSE)</f>
        <v>2.796715450110596E-2</v>
      </c>
      <c r="M23" s="41">
        <f>VLOOKUP($A23,MasterTable[],M$103,FALSE)</f>
        <v>699</v>
      </c>
      <c r="N23" s="66">
        <f>VLOOKUP($A23,MasterTable[],N$103,FALSE)</f>
        <v>2.5494200889926325E-2</v>
      </c>
      <c r="O23" s="41">
        <f>VLOOKUP($A23,MasterTable[],O$103,FALSE)</f>
        <v>1147</v>
      </c>
      <c r="P23" s="66">
        <f>VLOOKUP($A23,MasterTable[],P$103,FALSE)</f>
        <v>2.9724266611381778E-2</v>
      </c>
      <c r="Q23" s="41">
        <f>VLOOKUP($A23,MasterTable[],Q$103,FALSE)</f>
        <v>998</v>
      </c>
      <c r="R23" s="66">
        <f>VLOOKUP($A23,MasterTable[],R$103,FALSE)</f>
        <v>1.5119837590522075E-2</v>
      </c>
      <c r="S23" s="41">
        <f>VLOOKUP($A23,MasterTable[],S$103,FALSE)</f>
        <v>521</v>
      </c>
      <c r="T23" s="66">
        <f>VLOOKUP($A23,MasterTable[],T$103,FALSE)</f>
        <v>1.9002115398643226E-2</v>
      </c>
      <c r="U23" s="41">
        <f>VLOOKUP($A23,MasterTable[],U$103,FALSE)</f>
        <v>477</v>
      </c>
      <c r="V23" s="66">
        <f>VLOOKUP($A23,MasterTable[],V$103,FALSE)</f>
        <v>1.2361355861925988E-2</v>
      </c>
      <c r="W23" s="64">
        <f>VLOOKUP($A23,MasterTable[],W$103,FALSE)</f>
        <v>848</v>
      </c>
      <c r="X23" s="64">
        <f>VLOOKUP($A23,MasterTable[],X$103,FALSE)</f>
        <v>178</v>
      </c>
      <c r="Y23" s="64">
        <f>VLOOKUP($A23,MasterTable[],Y$103,FALSE)</f>
        <v>670</v>
      </c>
      <c r="Z23" s="41">
        <f>VLOOKUP($A23,MasterTable[],Z$103,FALSE)</f>
        <v>489</v>
      </c>
      <c r="AA23" s="66">
        <f>VLOOKUP($A23,MasterTable[],AA$103,FALSE)</f>
        <v>7.4084174165984914E-3</v>
      </c>
      <c r="AB23" s="41">
        <f>VLOOKUP($A23,MasterTable[],AB$103,FALSE)</f>
        <v>252</v>
      </c>
      <c r="AC23" s="66">
        <f>VLOOKUP($A23,MasterTable[],AC$103,FALSE)</f>
        <v>9.1910423809176446E-3</v>
      </c>
      <c r="AD23" s="41">
        <f>VLOOKUP($A23,MasterTable[],AD$103,FALSE)</f>
        <v>237</v>
      </c>
      <c r="AE23" s="66">
        <f>VLOOKUP($A23,MasterTable[],AE$103,FALSE)</f>
        <v>6.1418057427179438E-3</v>
      </c>
      <c r="AF23" s="41">
        <f>VLOOKUP($A23,MasterTable[],AF$103,FALSE)</f>
        <v>469</v>
      </c>
      <c r="AG23" s="66">
        <f>VLOOKUP($A23,MasterTable[],AG$103,FALSE)</f>
        <v>7.1054146592733998E-3</v>
      </c>
      <c r="AH23" s="41">
        <f>VLOOKUP($A23,MasterTable[],AH$103,FALSE)</f>
        <v>79</v>
      </c>
      <c r="AI23" s="66">
        <f>VLOOKUP($A23,MasterTable[],AI$103,FALSE)</f>
        <v>2.8813188416368807E-3</v>
      </c>
      <c r="AJ23" s="41">
        <f>VLOOKUP($A23,MasterTable[],AJ$103,FALSE)</f>
        <v>390</v>
      </c>
      <c r="AK23" s="66">
        <f>VLOOKUP($A23,MasterTable[],AK$103,FALSE)</f>
        <v>1.0106768943713072E-2</v>
      </c>
      <c r="AL23" s="41">
        <f>VLOOKUP($A23,MasterTable[],AL$103,FALSE)</f>
        <v>744</v>
      </c>
      <c r="AM23" s="66">
        <f>VLOOKUP($A23,MasterTable[],AM$103,FALSE)</f>
        <v>1.127170257249341E-2</v>
      </c>
      <c r="AN23" s="41">
        <f>VLOOKUP($A23,MasterTable[],AN$103,FALSE)</f>
        <v>129</v>
      </c>
      <c r="AO23" s="66">
        <f>VLOOKUP($A23,MasterTable[],AO$103,FALSE)</f>
        <v>4.7049383616602231E-3</v>
      </c>
      <c r="AP23" s="41">
        <f>VLOOKUP($A23,MasterTable[],AP$103,FALSE)</f>
        <v>615</v>
      </c>
      <c r="AQ23" s="66">
        <f>VLOOKUP($A23,MasterTable[],AQ$103,FALSE)</f>
        <v>1.5937597180470612E-2</v>
      </c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</row>
    <row r="24" spans="1:61" s="84" customFormat="1" ht="20.149999999999999" customHeight="1" x14ac:dyDescent="0.35">
      <c r="A24" s="79" t="s">
        <v>65</v>
      </c>
      <c r="B24" s="38">
        <f>VLOOKUP($A24,MasterTable[],B$103,FALSE)</f>
        <v>66006</v>
      </c>
      <c r="C24" s="65">
        <f>VLOOKUP($A24,MasterTable[],C$103,FALSE)</f>
        <v>27125</v>
      </c>
      <c r="D24" s="65">
        <f>VLOOKUP($A24,MasterTable[],D$103,FALSE)</f>
        <v>38881</v>
      </c>
      <c r="E24" s="38">
        <f>VLOOKUP($A24,MasterTable[],E$103,FALSE)</f>
        <v>27418</v>
      </c>
      <c r="F24" s="65">
        <f>VLOOKUP($A24,MasterTable[],F$103,FALSE)</f>
        <v>14186</v>
      </c>
      <c r="G24" s="65">
        <f>VLOOKUP($A24,MasterTable[],G$103,FALSE)</f>
        <v>13232</v>
      </c>
      <c r="H24" s="38">
        <f>VLOOKUP($A24,MasterTable[],H$103,FALSE)</f>
        <v>38588</v>
      </c>
      <c r="I24" s="65">
        <f>VLOOKUP($A24,MasterTable[],I$103,FALSE)</f>
        <v>12939</v>
      </c>
      <c r="J24" s="65">
        <f>VLOOKUP($A24,MasterTable[],J$103,FALSE)</f>
        <v>25649</v>
      </c>
      <c r="K24" s="41">
        <f>VLOOKUP($A24,MasterTable[],K$103,FALSE)</f>
        <v>1343</v>
      </c>
      <c r="L24" s="66">
        <f>VLOOKUP($A24,MasterTable[],L$103,FALSE)</f>
        <v>2.0484739402998733E-2</v>
      </c>
      <c r="M24" s="41">
        <f>VLOOKUP($A24,MasterTable[],M$103,FALSE)</f>
        <v>545</v>
      </c>
      <c r="N24" s="66">
        <f>VLOOKUP($A24,MasterTable[],N$103,FALSE)</f>
        <v>2.0081061164333086E-2</v>
      </c>
      <c r="O24" s="41">
        <f>VLOOKUP($A24,MasterTable[],O$103,FALSE)</f>
        <v>798</v>
      </c>
      <c r="P24" s="66">
        <f>VLOOKUP($A24,MasterTable[],P$103,FALSE)</f>
        <v>2.0769891465604748E-2</v>
      </c>
      <c r="Q24" s="41">
        <f>VLOOKUP($A24,MasterTable[],Q$103,FALSE)</f>
        <v>1017</v>
      </c>
      <c r="R24" s="66">
        <f>VLOOKUP($A24,MasterTable[],R$103,FALSE)</f>
        <v>1.5512271014780128E-2</v>
      </c>
      <c r="S24" s="41">
        <f>VLOOKUP($A24,MasterTable[],S$103,FALSE)</f>
        <v>534</v>
      </c>
      <c r="T24" s="66">
        <f>VLOOKUP($A24,MasterTable[],T$103,FALSE)</f>
        <v>1.9675755342667651E-2</v>
      </c>
      <c r="U24" s="41">
        <f>VLOOKUP($A24,MasterTable[],U$103,FALSE)</f>
        <v>483</v>
      </c>
      <c r="V24" s="66">
        <f>VLOOKUP($A24,MasterTable[],V$103,FALSE)</f>
        <v>1.2571250097602873E-2</v>
      </c>
      <c r="W24" s="64">
        <f>VLOOKUP($A24,MasterTable[],W$103,FALSE)</f>
        <v>326</v>
      </c>
      <c r="X24" s="64">
        <f>VLOOKUP($A24,MasterTable[],X$103,FALSE)</f>
        <v>11</v>
      </c>
      <c r="Y24" s="64">
        <f>VLOOKUP($A24,MasterTable[],Y$103,FALSE)</f>
        <v>315</v>
      </c>
      <c r="Z24" s="41">
        <f>VLOOKUP($A24,MasterTable[],Z$103,FALSE)</f>
        <v>494</v>
      </c>
      <c r="AA24" s="66">
        <f>VLOOKUP($A24,MasterTable[],AA$103,FALSE)</f>
        <v>7.5349674349079482E-3</v>
      </c>
      <c r="AB24" s="41">
        <f>VLOOKUP($A24,MasterTable[],AB$103,FALSE)</f>
        <v>264</v>
      </c>
      <c r="AC24" s="66">
        <f>VLOOKUP($A24,MasterTable[],AC$103,FALSE)</f>
        <v>9.7273397199705239E-3</v>
      </c>
      <c r="AD24" s="41">
        <f>VLOOKUP($A24,MasterTable[],AD$103,FALSE)</f>
        <v>230</v>
      </c>
      <c r="AE24" s="66">
        <f>VLOOKUP($A24,MasterTable[],AE$103,FALSE)</f>
        <v>5.9863095702870827E-3</v>
      </c>
      <c r="AF24" s="41">
        <f>VLOOKUP($A24,MasterTable[],AF$103,FALSE)</f>
        <v>426</v>
      </c>
      <c r="AG24" s="66">
        <f>VLOOKUP($A24,MasterTable[],AG$103,FALSE)</f>
        <v>6.4977654398194048E-3</v>
      </c>
      <c r="AH24" s="41">
        <f>VLOOKUP($A24,MasterTable[],AH$103,FALSE)</f>
        <v>81</v>
      </c>
      <c r="AI24" s="66">
        <f>VLOOKUP($A24,MasterTable[],AI$103,FALSE)</f>
        <v>2.9845246868091379E-3</v>
      </c>
      <c r="AJ24" s="41">
        <f>VLOOKUP($A24,MasterTable[],AJ$103,FALSE)</f>
        <v>345</v>
      </c>
      <c r="AK24" s="66">
        <f>VLOOKUP($A24,MasterTable[],AK$103,FALSE)</f>
        <v>8.9794643554306237E-3</v>
      </c>
      <c r="AL24" s="41">
        <f>VLOOKUP($A24,MasterTable[],AL$103,FALSE)</f>
        <v>594</v>
      </c>
      <c r="AM24" s="66">
        <f>VLOOKUP($A24,MasterTable[],AM$103,FALSE)</f>
        <v>9.0602644865087484E-3</v>
      </c>
      <c r="AN24" s="41">
        <f>VLOOKUP($A24,MasterTable[],AN$103,FALSE)</f>
        <v>107</v>
      </c>
      <c r="AO24" s="66">
        <f>VLOOKUP($A24,MasterTable[],AO$103,FALSE)</f>
        <v>3.9425202652910831E-3</v>
      </c>
      <c r="AP24" s="41">
        <f>VLOOKUP($A24,MasterTable[],AP$103,FALSE)</f>
        <v>487</v>
      </c>
      <c r="AQ24" s="66">
        <f>VLOOKUP($A24,MasterTable[],AQ$103,FALSE)</f>
        <v>1.267535982926004E-2</v>
      </c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</row>
    <row r="25" spans="1:61" s="84" customFormat="1" ht="20.149999999999999" customHeight="1" x14ac:dyDescent="0.35">
      <c r="A25" s="79" t="s">
        <v>64</v>
      </c>
      <c r="B25" s="38">
        <f>VLOOKUP($A25,MasterTable[],B$103,FALSE)</f>
        <v>65561</v>
      </c>
      <c r="C25" s="65">
        <f>VLOOKUP($A25,MasterTable[],C$103,FALSE)</f>
        <v>27035</v>
      </c>
      <c r="D25" s="65">
        <f>VLOOKUP($A25,MasterTable[],D$103,FALSE)</f>
        <v>38526</v>
      </c>
      <c r="E25" s="38">
        <f>VLOOKUP($A25,MasterTable[],E$103,FALSE)</f>
        <v>27140</v>
      </c>
      <c r="F25" s="65">
        <f>VLOOKUP($A25,MasterTable[],F$103,FALSE)</f>
        <v>14089</v>
      </c>
      <c r="G25" s="65">
        <f>VLOOKUP($A25,MasterTable[],G$103,FALSE)</f>
        <v>13051</v>
      </c>
      <c r="H25" s="38">
        <f>VLOOKUP($A25,MasterTable[],H$103,FALSE)</f>
        <v>38421</v>
      </c>
      <c r="I25" s="65">
        <f>VLOOKUP($A25,MasterTable[],I$103,FALSE)</f>
        <v>12946</v>
      </c>
      <c r="J25" s="65">
        <f>VLOOKUP($A25,MasterTable[],J$103,FALSE)</f>
        <v>25475</v>
      </c>
      <c r="K25" s="41">
        <f>VLOOKUP($A25,MasterTable[],K$103,FALSE)</f>
        <v>1275</v>
      </c>
      <c r="L25" s="66">
        <f>VLOOKUP($A25,MasterTable[],L$103,FALSE)</f>
        <v>1.9349845201238391E-2</v>
      </c>
      <c r="M25" s="41">
        <f>VLOOKUP($A25,MasterTable[],M$103,FALSE)</f>
        <v>541</v>
      </c>
      <c r="N25" s="66">
        <f>VLOOKUP($A25,MasterTable[],N$103,FALSE)</f>
        <v>1.9699231693551325E-2</v>
      </c>
      <c r="O25" s="41">
        <f>VLOOKUP($A25,MasterTable[],O$103,FALSE)</f>
        <v>734</v>
      </c>
      <c r="P25" s="66">
        <f>VLOOKUP($A25,MasterTable[],P$103,FALSE)</f>
        <v>1.9100158734289208E-2</v>
      </c>
      <c r="Q25" s="41">
        <f>VLOOKUP($A25,MasterTable[],Q$103,FALSE)</f>
        <v>1216</v>
      </c>
      <c r="R25" s="66">
        <f>VLOOKUP($A25,MasterTable[],R$103,FALSE)</f>
        <v>1.845444059976932E-2</v>
      </c>
      <c r="S25" s="41">
        <f>VLOOKUP($A25,MasterTable[],S$103,FALSE)</f>
        <v>708</v>
      </c>
      <c r="T25" s="66">
        <f>VLOOKUP($A25,MasterTable[],T$103,FALSE)</f>
        <v>2.5780140552743691E-2</v>
      </c>
      <c r="U25" s="41">
        <f>VLOOKUP($A25,MasterTable[],U$103,FALSE)</f>
        <v>508</v>
      </c>
      <c r="V25" s="66">
        <f>VLOOKUP($A25,MasterTable[],V$103,FALSE)</f>
        <v>1.3219183429181087E-2</v>
      </c>
      <c r="W25" s="64">
        <f>VLOOKUP($A25,MasterTable[],W$103,FALSE)</f>
        <v>59</v>
      </c>
      <c r="X25" s="64">
        <f>VLOOKUP($A25,MasterTable[],X$103,FALSE)</f>
        <v>-167</v>
      </c>
      <c r="Y25" s="64">
        <f>VLOOKUP($A25,MasterTable[],Y$103,FALSE)</f>
        <v>226</v>
      </c>
      <c r="Z25" s="41">
        <f>VLOOKUP($A25,MasterTable[],Z$103,FALSE)</f>
        <v>579</v>
      </c>
      <c r="AA25" s="66">
        <f>VLOOKUP($A25,MasterTable[],AA$103,FALSE)</f>
        <v>8.7871061737388456E-3</v>
      </c>
      <c r="AB25" s="41">
        <f>VLOOKUP($A25,MasterTable[],AB$103,FALSE)</f>
        <v>301</v>
      </c>
      <c r="AC25" s="66">
        <f>VLOOKUP($A25,MasterTable[],AC$103,FALSE)</f>
        <v>1.0960200997706004E-2</v>
      </c>
      <c r="AD25" s="41">
        <f>VLOOKUP($A25,MasterTable[],AD$103,FALSE)</f>
        <v>278</v>
      </c>
      <c r="AE25" s="66">
        <f>VLOOKUP($A25,MasterTable[],AE$103,FALSE)</f>
        <v>7.2341200655754766E-3</v>
      </c>
      <c r="AF25" s="41">
        <f>VLOOKUP($A25,MasterTable[],AF$103,FALSE)</f>
        <v>418</v>
      </c>
      <c r="AG25" s="66">
        <f>VLOOKUP($A25,MasterTable[],AG$103,FALSE)</f>
        <v>6.3437139561707033E-3</v>
      </c>
      <c r="AH25" s="41">
        <f>VLOOKUP($A25,MasterTable[],AH$103,FALSE)</f>
        <v>77</v>
      </c>
      <c r="AI25" s="66">
        <f>VLOOKUP($A25,MasterTable[],AI$103,FALSE)</f>
        <v>2.8037723482503734E-3</v>
      </c>
      <c r="AJ25" s="41">
        <f>VLOOKUP($A25,MasterTable[],AJ$103,FALSE)</f>
        <v>341</v>
      </c>
      <c r="AK25" s="66">
        <f>VLOOKUP($A25,MasterTable[],AK$103,FALSE)</f>
        <v>8.873506986910926E-3</v>
      </c>
      <c r="AL25" s="41">
        <f>VLOOKUP($A25,MasterTable[],AL$103,FALSE)</f>
        <v>563</v>
      </c>
      <c r="AM25" s="66">
        <f>VLOOKUP($A25,MasterTable[],AM$103,FALSE)</f>
        <v>8.5442845868997763E-3</v>
      </c>
      <c r="AN25" s="41">
        <f>VLOOKUP($A25,MasterTable[],AN$103,FALSE)</f>
        <v>96</v>
      </c>
      <c r="AO25" s="66">
        <f>VLOOKUP($A25,MasterTable[],AO$103,FALSE)</f>
        <v>3.4956122783381277E-3</v>
      </c>
      <c r="AP25" s="41">
        <f>VLOOKUP($A25,MasterTable[],AP$103,FALSE)</f>
        <v>467</v>
      </c>
      <c r="AQ25" s="66">
        <f>VLOOKUP($A25,MasterTable[],AQ$103,FALSE)</f>
        <v>1.2152280829581827E-2</v>
      </c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</row>
    <row r="26" spans="1:61" s="84" customFormat="1" ht="20.149999999999999" customHeight="1" x14ac:dyDescent="0.35">
      <c r="A26" s="79" t="s">
        <v>63</v>
      </c>
      <c r="B26" s="38">
        <f>VLOOKUP($A26,MasterTable[],B$103,FALSE)</f>
        <v>65892</v>
      </c>
      <c r="C26" s="65">
        <f>VLOOKUP($A26,MasterTable[],C$103,FALSE)</f>
        <v>27519</v>
      </c>
      <c r="D26" s="65">
        <f>VLOOKUP($A26,MasterTable[],D$103,FALSE)</f>
        <v>38373</v>
      </c>
      <c r="E26" s="38">
        <f>VLOOKUP($A26,MasterTable[],E$103,FALSE)</f>
        <v>27463</v>
      </c>
      <c r="F26" s="65">
        <f>VLOOKUP($A26,MasterTable[],F$103,FALSE)</f>
        <v>14486</v>
      </c>
      <c r="G26" s="65">
        <f>VLOOKUP($A26,MasterTable[],G$103,FALSE)</f>
        <v>12977</v>
      </c>
      <c r="H26" s="38">
        <f>VLOOKUP($A26,MasterTable[],H$103,FALSE)</f>
        <v>38429</v>
      </c>
      <c r="I26" s="65">
        <f>VLOOKUP($A26,MasterTable[],I$103,FALSE)</f>
        <v>13033</v>
      </c>
      <c r="J26" s="65">
        <f>VLOOKUP($A26,MasterTable[],J$103,FALSE)</f>
        <v>25396</v>
      </c>
      <c r="K26" s="41">
        <f>VLOOKUP($A26,MasterTable[],K$103,FALSE)</f>
        <v>1285</v>
      </c>
      <c r="L26" s="66">
        <f>VLOOKUP($A26,MasterTable[],L$103,FALSE)</f>
        <v>1.9588713242579919E-2</v>
      </c>
      <c r="M26" s="41">
        <f>VLOOKUP($A26,MasterTable[],M$103,FALSE)</f>
        <v>722</v>
      </c>
      <c r="N26" s="66">
        <f>VLOOKUP($A26,MasterTable[],N$103,FALSE)</f>
        <v>2.6376356263471304E-2</v>
      </c>
      <c r="O26" s="41">
        <f>VLOOKUP($A26,MasterTable[],O$103,FALSE)</f>
        <v>563</v>
      </c>
      <c r="P26" s="66">
        <f>VLOOKUP($A26,MasterTable[],P$103,FALSE)</f>
        <v>1.4728195469052477E-2</v>
      </c>
      <c r="Q26" s="41">
        <f>VLOOKUP($A26,MasterTable[],Q$103,FALSE)</f>
        <v>1371</v>
      </c>
      <c r="R26" s="66">
        <f>VLOOKUP($A26,MasterTable[],R$103,FALSE)</f>
        <v>2.0899708837024956E-2</v>
      </c>
      <c r="S26" s="41">
        <f>VLOOKUP($A26,MasterTable[],S$103,FALSE)</f>
        <v>866</v>
      </c>
      <c r="T26" s="66">
        <f>VLOOKUP($A26,MasterTable[],T$103,FALSE)</f>
        <v>3.1637014576407406E-2</v>
      </c>
      <c r="U26" s="41">
        <f>VLOOKUP($A26,MasterTable[],U$103,FALSE)</f>
        <v>505</v>
      </c>
      <c r="V26" s="66">
        <f>VLOOKUP($A26,MasterTable[],V$103,FALSE)</f>
        <v>1.3210903573484017E-2</v>
      </c>
      <c r="W26" s="64">
        <f>VLOOKUP($A26,MasterTable[],W$103,FALSE)</f>
        <v>-86</v>
      </c>
      <c r="X26" s="64">
        <f>VLOOKUP($A26,MasterTable[],X$103,FALSE)</f>
        <v>-144</v>
      </c>
      <c r="Y26" s="64">
        <f>VLOOKUP($A26,MasterTable[],Y$103,FALSE)</f>
        <v>58</v>
      </c>
      <c r="Z26" s="41">
        <f>VLOOKUP($A26,MasterTable[],Z$103,FALSE)</f>
        <v>711</v>
      </c>
      <c r="AA26" s="66">
        <f>VLOOKUP($A26,MasterTable[],AA$103,FALSE)</f>
        <v>1.083857985640025E-2</v>
      </c>
      <c r="AB26" s="41">
        <f>VLOOKUP($A26,MasterTable[],AB$103,FALSE)</f>
        <v>388</v>
      </c>
      <c r="AC26" s="66">
        <f>VLOOKUP($A26,MasterTable[],AC$103,FALSE)</f>
        <v>1.4174551565411172E-2</v>
      </c>
      <c r="AD26" s="41">
        <f>VLOOKUP($A26,MasterTable[],AD$103,FALSE)</f>
        <v>323</v>
      </c>
      <c r="AE26" s="66">
        <f>VLOOKUP($A26,MasterTable[],AE$103,FALSE)</f>
        <v>8.4497462460105689E-3</v>
      </c>
      <c r="AF26" s="41">
        <f>VLOOKUP($A26,MasterTable[],AF$103,FALSE)</f>
        <v>433</v>
      </c>
      <c r="AG26" s="66">
        <f>VLOOKUP($A26,MasterTable[],AG$103,FALSE)</f>
        <v>6.6007103766825715E-3</v>
      </c>
      <c r="AH26" s="41">
        <f>VLOOKUP($A26,MasterTable[],AH$103,FALSE)</f>
        <v>66</v>
      </c>
      <c r="AI26" s="66">
        <f>VLOOKUP($A26,MasterTable[],AI$103,FALSE)</f>
        <v>2.4111350600957149E-3</v>
      </c>
      <c r="AJ26" s="41">
        <f>VLOOKUP($A26,MasterTable[],AJ$103,FALSE)</f>
        <v>367</v>
      </c>
      <c r="AK26" s="66">
        <f>VLOOKUP($A26,MasterTable[],AK$103,FALSE)</f>
        <v>9.6007952702349183E-3</v>
      </c>
      <c r="AL26" s="41">
        <f>VLOOKUP($A26,MasterTable[],AL$103,FALSE)</f>
        <v>553</v>
      </c>
      <c r="AM26" s="66">
        <f>VLOOKUP($A26,MasterTable[],AM$103,FALSE)</f>
        <v>8.4300065549779719E-3</v>
      </c>
      <c r="AN26" s="41">
        <f>VLOOKUP($A26,MasterTable[],AN$103,FALSE)</f>
        <v>86</v>
      </c>
      <c r="AO26" s="66">
        <f>VLOOKUP($A26,MasterTable[],AO$103,FALSE)</f>
        <v>3.1417820480035071E-3</v>
      </c>
      <c r="AP26" s="41">
        <f>VLOOKUP($A26,MasterTable[],AP$103,FALSE)</f>
        <v>467</v>
      </c>
      <c r="AQ26" s="66">
        <f>VLOOKUP($A26,MasterTable[],AQ$103,FALSE)</f>
        <v>1.2216815779835714E-2</v>
      </c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</row>
    <row r="27" spans="1:61" s="84" customFormat="1" ht="20.149999999999999" customHeight="1" x14ac:dyDescent="0.35">
      <c r="A27" s="79" t="s">
        <v>62</v>
      </c>
      <c r="B27" s="38">
        <f>VLOOKUP($A27,MasterTable[],B$103,FALSE)</f>
        <v>65599</v>
      </c>
      <c r="C27" s="65">
        <f>VLOOKUP($A27,MasterTable[],C$103,FALSE)</f>
        <v>27375</v>
      </c>
      <c r="D27" s="65">
        <f>VLOOKUP($A27,MasterTable[],D$103,FALSE)</f>
        <v>38224</v>
      </c>
      <c r="E27" s="38">
        <f>VLOOKUP($A27,MasterTable[],E$103,FALSE)</f>
        <v>27373</v>
      </c>
      <c r="F27" s="65">
        <f>VLOOKUP($A27,MasterTable[],F$103,FALSE)</f>
        <v>14476</v>
      </c>
      <c r="G27" s="65">
        <f>VLOOKUP($A27,MasterTable[],G$103,FALSE)</f>
        <v>12897</v>
      </c>
      <c r="H27" s="38">
        <f>VLOOKUP($A27,MasterTable[],H$103,FALSE)</f>
        <v>38226</v>
      </c>
      <c r="I27" s="65">
        <f>VLOOKUP($A27,MasterTable[],I$103,FALSE)</f>
        <v>12899</v>
      </c>
      <c r="J27" s="65">
        <f>VLOOKUP($A27,MasterTable[],J$103,FALSE)</f>
        <v>25327</v>
      </c>
      <c r="K27" s="41">
        <f>VLOOKUP($A27,MasterTable[],K$103,FALSE)</f>
        <v>1537</v>
      </c>
      <c r="L27" s="66">
        <f>VLOOKUP($A27,MasterTable[],L$103,FALSE)</f>
        <v>2.3636335675949988E-2</v>
      </c>
      <c r="M27" s="41">
        <f>VLOOKUP($A27,MasterTable[],M$103,FALSE)</f>
        <v>586</v>
      </c>
      <c r="N27" s="66">
        <f>VLOOKUP($A27,MasterTable[],N$103,FALSE)</f>
        <v>2.1490391667889099E-2</v>
      </c>
      <c r="O27" s="41">
        <f>VLOOKUP($A27,MasterTable[],O$103,FALSE)</f>
        <v>951</v>
      </c>
      <c r="P27" s="66">
        <f>VLOOKUP($A27,MasterTable[],P$103,FALSE)</f>
        <v>2.518604835933155E-2</v>
      </c>
      <c r="Q27" s="41">
        <f>VLOOKUP($A27,MasterTable[],Q$103,FALSE)</f>
        <v>1086</v>
      </c>
      <c r="R27" s="66">
        <f>VLOOKUP($A27,MasterTable[],R$103,FALSE)</f>
        <v>1.6700755070970519E-2</v>
      </c>
      <c r="S27" s="41">
        <f>VLOOKUP($A27,MasterTable[],S$103,FALSE)</f>
        <v>589</v>
      </c>
      <c r="T27" s="66">
        <f>VLOOKUP($A27,MasterTable[],T$103,FALSE)</f>
        <v>2.1600410737861231E-2</v>
      </c>
      <c r="U27" s="41">
        <f>VLOOKUP($A27,MasterTable[],U$103,FALSE)</f>
        <v>497</v>
      </c>
      <c r="V27" s="66">
        <f>VLOOKUP($A27,MasterTable[],V$103,FALSE)</f>
        <v>1.3162424852353081E-2</v>
      </c>
      <c r="W27" s="64">
        <f>VLOOKUP($A27,MasterTable[],W$103,FALSE)</f>
        <v>451</v>
      </c>
      <c r="X27" s="64">
        <f>VLOOKUP($A27,MasterTable[],X$103,FALSE)</f>
        <v>-3</v>
      </c>
      <c r="Y27" s="64">
        <f>VLOOKUP($A27,MasterTable[],Y$103,FALSE)</f>
        <v>454</v>
      </c>
      <c r="Z27" s="41">
        <f>VLOOKUP($A27,MasterTable[],Z$103,FALSE)</f>
        <v>521</v>
      </c>
      <c r="AA27" s="66">
        <f>VLOOKUP($A27,MasterTable[],AA$103,FALSE)</f>
        <v>8.0120565303643098E-3</v>
      </c>
      <c r="AB27" s="41">
        <f>VLOOKUP($A27,MasterTable[],AB$103,FALSE)</f>
        <v>270</v>
      </c>
      <c r="AC27" s="66">
        <f>VLOOKUP($A27,MasterTable[],AC$103,FALSE)</f>
        <v>9.9017162974915657E-3</v>
      </c>
      <c r="AD27" s="41">
        <f>VLOOKUP($A27,MasterTable[],AD$103,FALSE)</f>
        <v>251</v>
      </c>
      <c r="AE27" s="66">
        <f>VLOOKUP($A27,MasterTable[],AE$103,FALSE)</f>
        <v>6.6474218067215764E-3</v>
      </c>
      <c r="AF27" s="41">
        <f>VLOOKUP($A27,MasterTable[],AF$103,FALSE)</f>
        <v>536</v>
      </c>
      <c r="AG27" s="66">
        <f>VLOOKUP($A27,MasterTable[],AG$103,FALSE)</f>
        <v>8.2427299429467752E-3</v>
      </c>
      <c r="AH27" s="41">
        <f>VLOOKUP($A27,MasterTable[],AH$103,FALSE)</f>
        <v>86</v>
      </c>
      <c r="AI27" s="66">
        <f>VLOOKUP($A27,MasterTable[],AI$103,FALSE)</f>
        <v>3.1538800058676839E-3</v>
      </c>
      <c r="AJ27" s="41">
        <f>VLOOKUP($A27,MasterTable[],AJ$103,FALSE)</f>
        <v>450</v>
      </c>
      <c r="AK27" s="66">
        <f>VLOOKUP($A27,MasterTable[],AK$103,FALSE)</f>
        <v>1.1917688498106411E-2</v>
      </c>
      <c r="AL27" s="41">
        <f>VLOOKUP($A27,MasterTable[],AL$103,FALSE)</f>
        <v>691</v>
      </c>
      <c r="AM27" s="66">
        <f>VLOOKUP($A27,MasterTable[],AM$103,FALSE)</f>
        <v>1.0626355206298921E-2</v>
      </c>
      <c r="AN27" s="41">
        <f>VLOOKUP($A27,MasterTable[],AN$103,FALSE)</f>
        <v>133</v>
      </c>
      <c r="AO27" s="66">
        <f>VLOOKUP($A27,MasterTable[],AO$103,FALSE)</f>
        <v>4.8775121020976971E-3</v>
      </c>
      <c r="AP27" s="41">
        <f>VLOOKUP($A27,MasterTable[],AP$103,FALSE)</f>
        <v>558</v>
      </c>
      <c r="AQ27" s="66">
        <f>VLOOKUP($A27,MasterTable[],AQ$103,FALSE)</f>
        <v>1.477793373765195E-2</v>
      </c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</row>
    <row r="28" spans="1:61" s="84" customFormat="1" ht="20.149999999999999" customHeight="1" x14ac:dyDescent="0.35">
      <c r="A28" s="79" t="s">
        <v>61</v>
      </c>
      <c r="B28" s="38">
        <f>VLOOKUP($A28,MasterTable[],B$103,FALSE)</f>
        <v>65027</v>
      </c>
      <c r="C28" s="65">
        <f>VLOOKUP($A28,MasterTable[],C$103,FALSE)</f>
        <v>27270</v>
      </c>
      <c r="D28" s="65">
        <f>VLOOKUP($A28,MasterTable[],D$103,FALSE)</f>
        <v>37757</v>
      </c>
      <c r="E28" s="38">
        <f>VLOOKUP($A28,MasterTable[],E$103,FALSE)</f>
        <v>27268</v>
      </c>
      <c r="F28" s="65">
        <f>VLOOKUP($A28,MasterTable[],F$103,FALSE)</f>
        <v>14371</v>
      </c>
      <c r="G28" s="65">
        <f>VLOOKUP($A28,MasterTable[],G$103,FALSE)</f>
        <v>12897</v>
      </c>
      <c r="H28" s="38">
        <f>VLOOKUP($A28,MasterTable[],H$103,FALSE)</f>
        <v>37759</v>
      </c>
      <c r="I28" s="65">
        <f>VLOOKUP($A28,MasterTable[],I$103,FALSE)</f>
        <v>12899</v>
      </c>
      <c r="J28" s="65">
        <f>VLOOKUP($A28,MasterTable[],J$103,FALSE)</f>
        <v>24860</v>
      </c>
      <c r="K28" s="41">
        <f>VLOOKUP($A28,MasterTable[],K$103,FALSE)</f>
        <v>999</v>
      </c>
      <c r="L28" s="66">
        <f>VLOOKUP($A28,MasterTable[],L$103,FALSE)</f>
        <v>1.5505921430456175E-2</v>
      </c>
      <c r="M28" s="41">
        <f>VLOOKUP($A28,MasterTable[],M$103,FALSE)</f>
        <v>421</v>
      </c>
      <c r="N28" s="66">
        <f>VLOOKUP($A28,MasterTable[],N$103,FALSE)</f>
        <v>1.5782567947516399E-2</v>
      </c>
      <c r="O28" s="41">
        <f>VLOOKUP($A28,MasterTable[],O$103,FALSE)</f>
        <v>578</v>
      </c>
      <c r="P28" s="66">
        <f>VLOOKUP($A28,MasterTable[],P$103,FALSE)</f>
        <v>1.5310447128628947E-2</v>
      </c>
      <c r="Q28" s="41">
        <f>VLOOKUP($A28,MasterTable[],Q$103,FALSE)</f>
        <v>995</v>
      </c>
      <c r="R28" s="66">
        <f>VLOOKUP($A28,MasterTable[],R$103,FALSE)</f>
        <v>1.5443835658962858E-2</v>
      </c>
      <c r="S28" s="41">
        <f>VLOOKUP($A28,MasterTable[],S$103,FALSE)</f>
        <v>553</v>
      </c>
      <c r="T28" s="66">
        <f>VLOOKUP($A28,MasterTable[],T$103,FALSE)</f>
        <v>2.0731021555763823E-2</v>
      </c>
      <c r="U28" s="41">
        <f>VLOOKUP($A28,MasterTable[],U$103,FALSE)</f>
        <v>442</v>
      </c>
      <c r="V28" s="66">
        <f>VLOOKUP($A28,MasterTable[],V$103,FALSE)</f>
        <v>1.1707988980716254E-2</v>
      </c>
      <c r="W28" s="64">
        <f>VLOOKUP($A28,MasterTable[],W$103,FALSE)</f>
        <v>4</v>
      </c>
      <c r="X28" s="64">
        <f>VLOOKUP($A28,MasterTable[],X$103,FALSE)</f>
        <v>-132</v>
      </c>
      <c r="Y28" s="64">
        <f>VLOOKUP($A28,MasterTable[],Y$103,FALSE)</f>
        <v>136</v>
      </c>
      <c r="Z28" s="41">
        <f>VLOOKUP($A28,MasterTable[],Z$103,FALSE)</f>
        <v>486</v>
      </c>
      <c r="AA28" s="66">
        <f>VLOOKUP($A28,MasterTable[],AA$103,FALSE)</f>
        <v>7.5434212364381397E-3</v>
      </c>
      <c r="AB28" s="41">
        <f>VLOOKUP($A28,MasterTable[],AB$103,FALSE)</f>
        <v>247</v>
      </c>
      <c r="AC28" s="66">
        <f>VLOOKUP($A28,MasterTable[],AC$103,FALSE)</f>
        <v>9.259606373008435E-3</v>
      </c>
      <c r="AD28" s="41">
        <f>VLOOKUP($A28,MasterTable[],AD$103,FALSE)</f>
        <v>239</v>
      </c>
      <c r="AE28" s="66">
        <f>VLOOKUP($A28,MasterTable[],AE$103,FALSE)</f>
        <v>6.3307904216995123E-3</v>
      </c>
      <c r="AF28" s="41">
        <f>VLOOKUP($A28,MasterTable[],AF$103,FALSE)</f>
        <v>470</v>
      </c>
      <c r="AG28" s="66">
        <f>VLOOKUP($A28,MasterTable[],AG$103,FALSE)</f>
        <v>7.2950781504648671E-3</v>
      </c>
      <c r="AH28" s="41">
        <f>VLOOKUP($A28,MasterTable[],AH$103,FALSE)</f>
        <v>79</v>
      </c>
      <c r="AI28" s="66">
        <f>VLOOKUP($A28,MasterTable[],AI$103,FALSE)</f>
        <v>2.9615745079662604E-3</v>
      </c>
      <c r="AJ28" s="41">
        <f>VLOOKUP($A28,MasterTable[],AJ$103,FALSE)</f>
        <v>391</v>
      </c>
      <c r="AK28" s="66">
        <f>VLOOKUP($A28,MasterTable[],AK$103,FALSE)</f>
        <v>1.0357067175248993E-2</v>
      </c>
      <c r="AL28" s="41">
        <f>VLOOKUP($A28,MasterTable[],AL$103,FALSE)</f>
        <v>536</v>
      </c>
      <c r="AM28" s="66">
        <f>VLOOKUP($A28,MasterTable[],AM$103,FALSE)</f>
        <v>8.3194933801046152E-3</v>
      </c>
      <c r="AN28" s="41">
        <f>VLOOKUP($A28,MasterTable[],AN$103,FALSE)</f>
        <v>95</v>
      </c>
      <c r="AO28" s="66">
        <f>VLOOKUP($A28,MasterTable[],AO$103,FALSE)</f>
        <v>3.5613870665417058E-3</v>
      </c>
      <c r="AP28" s="41">
        <f>VLOOKUP($A28,MasterTable[],AP$103,FALSE)</f>
        <v>441</v>
      </c>
      <c r="AQ28" s="66">
        <f>VLOOKUP($A28,MasterTable[],AQ$103,FALSE)</f>
        <v>1.1681500317863955E-2</v>
      </c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</row>
    <row r="29" spans="1:61" s="84" customFormat="1" ht="20.149999999999999" customHeight="1" x14ac:dyDescent="0.35">
      <c r="A29" s="79" t="s">
        <v>60</v>
      </c>
      <c r="B29" s="38">
        <f>VLOOKUP($A29,MasterTable[],B$103,FALSE)</f>
        <v>64427</v>
      </c>
      <c r="C29" s="65">
        <f>VLOOKUP($A29,MasterTable[],C$103,FALSE)</f>
        <v>27141</v>
      </c>
      <c r="D29" s="65">
        <f>VLOOKUP($A29,MasterTable[],D$103,FALSE)</f>
        <v>37286</v>
      </c>
      <c r="E29" s="38">
        <f>VLOOKUP($A29,MasterTable[],E$103,FALSE)</f>
        <v>26675</v>
      </c>
      <c r="F29" s="65">
        <f>VLOOKUP($A29,MasterTable[],F$103,FALSE)</f>
        <v>14199</v>
      </c>
      <c r="G29" s="65">
        <f>VLOOKUP($A29,MasterTable[],G$103,FALSE)</f>
        <v>12476</v>
      </c>
      <c r="H29" s="38">
        <f>VLOOKUP($A29,MasterTable[],H$103,FALSE)</f>
        <v>37752</v>
      </c>
      <c r="I29" s="65">
        <f>VLOOKUP($A29,MasterTable[],I$103,FALSE)</f>
        <v>12942</v>
      </c>
      <c r="J29" s="65">
        <f>VLOOKUP($A29,MasterTable[],J$103,FALSE)</f>
        <v>24810</v>
      </c>
      <c r="K29" s="41">
        <f>VLOOKUP($A29,MasterTable[],K$103,FALSE)</f>
        <v>779</v>
      </c>
      <c r="L29" s="66">
        <f>VLOOKUP($A29,MasterTable[],L$103,FALSE)</f>
        <v>1.1950968810886274E-2</v>
      </c>
      <c r="M29" s="41">
        <f>VLOOKUP($A29,MasterTable[],M$103,FALSE)</f>
        <v>319</v>
      </c>
      <c r="N29" s="66">
        <f>VLOOKUP($A29,MasterTable[],N$103,FALSE)</f>
        <v>1.1728803588499155E-2</v>
      </c>
      <c r="O29" s="41">
        <f>VLOOKUP($A29,MasterTable[],O$103,FALSE)</f>
        <v>460</v>
      </c>
      <c r="P29" s="66">
        <f>VLOOKUP($A29,MasterTable[],P$103,FALSE)</f>
        <v>1.2110043438199289E-2</v>
      </c>
      <c r="Q29" s="41">
        <f>VLOOKUP($A29,MasterTable[],Q$103,FALSE)</f>
        <v>1374</v>
      </c>
      <c r="R29" s="66">
        <f>VLOOKUP($A29,MasterTable[],R$103,FALSE)</f>
        <v>2.1079115720356534E-2</v>
      </c>
      <c r="S29" s="41">
        <f>VLOOKUP($A29,MasterTable[],S$103,FALSE)</f>
        <v>813</v>
      </c>
      <c r="T29" s="66">
        <f>VLOOKUP($A29,MasterTable[],T$103,FALSE)</f>
        <v>2.9891903816457094E-2</v>
      </c>
      <c r="U29" s="41">
        <f>VLOOKUP($A29,MasterTable[],U$103,FALSE)</f>
        <v>561</v>
      </c>
      <c r="V29" s="66">
        <f>VLOOKUP($A29,MasterTable[],V$103,FALSE)</f>
        <v>1.4768987758325655E-2</v>
      </c>
      <c r="W29" s="64">
        <f>VLOOKUP($A29,MasterTable[],W$103,FALSE)</f>
        <v>-595</v>
      </c>
      <c r="X29" s="64">
        <f>VLOOKUP($A29,MasterTable[],X$103,FALSE)</f>
        <v>-494</v>
      </c>
      <c r="Y29" s="64">
        <f>VLOOKUP($A29,MasterTable[],Y$103,FALSE)</f>
        <v>-101</v>
      </c>
      <c r="Z29" s="41">
        <f>VLOOKUP($A29,MasterTable[],Z$103,FALSE)</f>
        <v>737</v>
      </c>
      <c r="AA29" s="66">
        <f>VLOOKUP($A29,MasterTable[],AA$103,FALSE)</f>
        <v>1.1306629029041315E-2</v>
      </c>
      <c r="AB29" s="41">
        <f>VLOOKUP($A29,MasterTable[],AB$103,FALSE)</f>
        <v>358</v>
      </c>
      <c r="AC29" s="66">
        <f>VLOOKUP($A29,MasterTable[],AC$103,FALSE)</f>
        <v>1.3162732553864255E-2</v>
      </c>
      <c r="AD29" s="41">
        <f>VLOOKUP($A29,MasterTable[],AD$103,FALSE)</f>
        <v>379</v>
      </c>
      <c r="AE29" s="66">
        <f>VLOOKUP($A29,MasterTable[],AE$103,FALSE)</f>
        <v>9.9776227458207179E-3</v>
      </c>
      <c r="AF29" s="41">
        <f>VLOOKUP($A29,MasterTable[],AF$103,FALSE)</f>
        <v>296</v>
      </c>
      <c r="AG29" s="66">
        <f>VLOOKUP($A29,MasterTable[],AG$103,FALSE)</f>
        <v>4.5410613196692389E-3</v>
      </c>
      <c r="AH29" s="41">
        <f>VLOOKUP($A29,MasterTable[],AH$103,FALSE)</f>
        <v>51</v>
      </c>
      <c r="AI29" s="66">
        <f>VLOOKUP($A29,MasterTable[],AI$103,FALSE)</f>
        <v>1.8751378777851313E-3</v>
      </c>
      <c r="AJ29" s="41">
        <f>VLOOKUP($A29,MasterTable[],AJ$103,FALSE)</f>
        <v>245</v>
      </c>
      <c r="AK29" s="66">
        <f>VLOOKUP($A29,MasterTable[],AK$103,FALSE)</f>
        <v>6.449914439910491E-3</v>
      </c>
      <c r="AL29" s="41">
        <f>VLOOKUP($A29,MasterTable[],AL$103,FALSE)</f>
        <v>486</v>
      </c>
      <c r="AM29" s="66">
        <f>VLOOKUP($A29,MasterTable[],AM$103,FALSE)</f>
        <v>7.455931761348818E-3</v>
      </c>
      <c r="AN29" s="41">
        <f>VLOOKUP($A29,MasterTable[],AN$103,FALSE)</f>
        <v>96</v>
      </c>
      <c r="AO29" s="66">
        <f>VLOOKUP($A29,MasterTable[],AO$103,FALSE)</f>
        <v>3.5296712993602469E-3</v>
      </c>
      <c r="AP29" s="41">
        <f>VLOOKUP($A29,MasterTable[],AP$103,FALSE)</f>
        <v>390</v>
      </c>
      <c r="AQ29" s="66">
        <f>VLOOKUP($A29,MasterTable[],AQ$103,FALSE)</f>
        <v>1.0267210741082005E-2</v>
      </c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</row>
    <row r="30" spans="1:61" s="84" customFormat="1" ht="20.149999999999999" customHeight="1" x14ac:dyDescent="0.35">
      <c r="A30" s="79" t="s">
        <v>59</v>
      </c>
      <c r="B30" s="38">
        <f>VLOOKUP($A30,MasterTable[],B$103,FALSE)</f>
        <v>65183</v>
      </c>
      <c r="C30" s="65">
        <f>VLOOKUP($A30,MasterTable[],C$103,FALSE)</f>
        <v>27762</v>
      </c>
      <c r="D30" s="65">
        <f>VLOOKUP($A30,MasterTable[],D$103,FALSE)</f>
        <v>37421</v>
      </c>
      <c r="E30" s="38">
        <f>VLOOKUP($A30,MasterTable[],E$103,FALSE)</f>
        <v>27198</v>
      </c>
      <c r="F30" s="65">
        <f>VLOOKUP($A30,MasterTable[],F$103,FALSE)</f>
        <v>14699</v>
      </c>
      <c r="G30" s="65">
        <f>VLOOKUP($A30,MasterTable[],G$103,FALSE)</f>
        <v>12499</v>
      </c>
      <c r="H30" s="38">
        <f>VLOOKUP($A30,MasterTable[],H$103,FALSE)</f>
        <v>37985</v>
      </c>
      <c r="I30" s="65">
        <f>VLOOKUP($A30,MasterTable[],I$103,FALSE)</f>
        <v>13063</v>
      </c>
      <c r="J30" s="65">
        <f>VLOOKUP($A30,MasterTable[],J$103,FALSE)</f>
        <v>24922</v>
      </c>
      <c r="K30" s="41">
        <f>VLOOKUP($A30,MasterTable[],K$103,FALSE)</f>
        <v>1345</v>
      </c>
      <c r="L30" s="66">
        <f>VLOOKUP($A30,MasterTable[],L$103,FALSE)</f>
        <v>2.0569523459962071E-2</v>
      </c>
      <c r="M30" s="41">
        <f>VLOOKUP($A30,MasterTable[],M$103,FALSE)</f>
        <v>887</v>
      </c>
      <c r="N30" s="66">
        <f>VLOOKUP($A30,MasterTable[],N$103,FALSE)</f>
        <v>3.2335678611789584E-2</v>
      </c>
      <c r="O30" s="41">
        <f>VLOOKUP($A30,MasterTable[],O$103,FALSE)</f>
        <v>458</v>
      </c>
      <c r="P30" s="66">
        <f>VLOOKUP($A30,MasterTable[],P$103,FALSE)</f>
        <v>1.206628553363016E-2</v>
      </c>
      <c r="Q30" s="41">
        <f>VLOOKUP($A30,MasterTable[],Q$103,FALSE)</f>
        <v>1382</v>
      </c>
      <c r="R30" s="66">
        <f>VLOOKUP($A30,MasterTable[],R$103,FALSE)</f>
        <v>2.1135376521685935E-2</v>
      </c>
      <c r="S30" s="41">
        <f>VLOOKUP($A30,MasterTable[],S$103,FALSE)</f>
        <v>816</v>
      </c>
      <c r="T30" s="66">
        <f>VLOOKUP($A30,MasterTable[],T$103,FALSE)</f>
        <v>2.9747366118624913E-2</v>
      </c>
      <c r="U30" s="41">
        <f>VLOOKUP($A30,MasterTable[],U$103,FALSE)</f>
        <v>566</v>
      </c>
      <c r="V30" s="66">
        <f>VLOOKUP($A30,MasterTable[],V$103,FALSE)</f>
        <v>1.4911610506625919E-2</v>
      </c>
      <c r="W30" s="64">
        <f>VLOOKUP($A30,MasterTable[],W$103,FALSE)</f>
        <v>-37</v>
      </c>
      <c r="X30" s="64">
        <f>VLOOKUP($A30,MasterTable[],X$103,FALSE)</f>
        <v>71</v>
      </c>
      <c r="Y30" s="64">
        <f>VLOOKUP($A30,MasterTable[],Y$103,FALSE)</f>
        <v>-108</v>
      </c>
      <c r="Z30" s="41">
        <f>VLOOKUP($A30,MasterTable[],Z$103,FALSE)</f>
        <v>693</v>
      </c>
      <c r="AA30" s="66">
        <f>VLOOKUP($A30,MasterTable[],AA$103,FALSE)</f>
        <v>1.0598274912828042E-2</v>
      </c>
      <c r="AB30" s="41">
        <f>VLOOKUP($A30,MasterTable[],AB$103,FALSE)</f>
        <v>325</v>
      </c>
      <c r="AC30" s="66">
        <f>VLOOKUP($A30,MasterTable[],AC$103,FALSE)</f>
        <v>1.1847909299697423E-2</v>
      </c>
      <c r="AD30" s="41">
        <f>VLOOKUP($A30,MasterTable[],AD$103,FALSE)</f>
        <v>368</v>
      </c>
      <c r="AE30" s="66">
        <f>VLOOKUP($A30,MasterTable[],AE$103,FALSE)</f>
        <v>9.6951813894670287E-3</v>
      </c>
      <c r="AF30" s="41">
        <f>VLOOKUP($A30,MasterTable[],AF$103,FALSE)</f>
        <v>364</v>
      </c>
      <c r="AG30" s="66">
        <f>VLOOKUP($A30,MasterTable[],AG$103,FALSE)</f>
        <v>5.5667706612834156E-3</v>
      </c>
      <c r="AH30" s="41">
        <f>VLOOKUP($A30,MasterTable[],AH$103,FALSE)</f>
        <v>33</v>
      </c>
      <c r="AI30" s="66">
        <f>VLOOKUP($A30,MasterTable[],AI$103,FALSE)</f>
        <v>1.2030184827385075E-3</v>
      </c>
      <c r="AJ30" s="41">
        <f>VLOOKUP($A30,MasterTable[],AJ$103,FALSE)</f>
        <v>331</v>
      </c>
      <c r="AK30" s="66">
        <f>VLOOKUP($A30,MasterTable[],AK$103,FALSE)</f>
        <v>8.720394130199963E-3</v>
      </c>
      <c r="AL30" s="41">
        <f>VLOOKUP($A30,MasterTable[],AL$103,FALSE)</f>
        <v>386</v>
      </c>
      <c r="AM30" s="66">
        <f>VLOOKUP($A30,MasterTable[],AM$103,FALSE)</f>
        <v>5.9032238331192264E-3</v>
      </c>
      <c r="AN30" s="41">
        <f>VLOOKUP($A30,MasterTable[],AN$103,FALSE)</f>
        <v>63</v>
      </c>
      <c r="AO30" s="66">
        <f>VLOOKUP($A30,MasterTable[],AO$103,FALSE)</f>
        <v>2.2966716488644233E-3</v>
      </c>
      <c r="AP30" s="41">
        <f>VLOOKUP($A30,MasterTable[],AP$103,FALSE)</f>
        <v>323</v>
      </c>
      <c r="AQ30" s="66">
        <f>VLOOKUP($A30,MasterTable[],AQ$103,FALSE)</f>
        <v>8.5096293173854629E-3</v>
      </c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</row>
    <row r="31" spans="1:61" s="84" customFormat="1" ht="20.149999999999999" customHeight="1" x14ac:dyDescent="0.35">
      <c r="A31" s="79" t="s">
        <v>58</v>
      </c>
      <c r="B31" s="38">
        <f>VLOOKUP($A31,MasterTable[],B$103,FALSE)</f>
        <v>65388</v>
      </c>
      <c r="C31" s="65">
        <f>VLOOKUP($A31,MasterTable[],C$103,FALSE)</f>
        <v>28035</v>
      </c>
      <c r="D31" s="65">
        <f>VLOOKUP($A31,MasterTable[],D$103,FALSE)</f>
        <v>37353</v>
      </c>
      <c r="E31" s="38">
        <f>VLOOKUP($A31,MasterTable[],E$103,FALSE)</f>
        <v>27431</v>
      </c>
      <c r="F31" s="65">
        <f>VLOOKUP($A31,MasterTable[],F$103,FALSE)</f>
        <v>14963</v>
      </c>
      <c r="G31" s="65">
        <f>VLOOKUP($A31,MasterTable[],G$103,FALSE)</f>
        <v>12468</v>
      </c>
      <c r="H31" s="38">
        <f>VLOOKUP($A31,MasterTable[],H$103,FALSE)</f>
        <v>37957</v>
      </c>
      <c r="I31" s="65">
        <f>VLOOKUP($A31,MasterTable[],I$103,FALSE)</f>
        <v>13072</v>
      </c>
      <c r="J31" s="65">
        <f>VLOOKUP($A31,MasterTable[],J$103,FALSE)</f>
        <v>24885</v>
      </c>
      <c r="K31" s="41">
        <f>VLOOKUP($A31,MasterTable[],K$103,FALSE)</f>
        <v>1260</v>
      </c>
      <c r="L31" s="66">
        <f>VLOOKUP($A31,MasterTable[],L$103,FALSE)</f>
        <v>1.9439644532214268E-2</v>
      </c>
      <c r="M31" s="41">
        <f>VLOOKUP($A31,MasterTable[],M$103,FALSE)</f>
        <v>656</v>
      </c>
      <c r="N31" s="66">
        <f>VLOOKUP($A31,MasterTable[],N$103,FALSE)</f>
        <v>2.4299896280930509E-2</v>
      </c>
      <c r="O31" s="41">
        <f>VLOOKUP($A31,MasterTable[],O$103,FALSE)</f>
        <v>604</v>
      </c>
      <c r="P31" s="66">
        <f>VLOOKUP($A31,MasterTable[],P$103,FALSE)</f>
        <v>1.5970386039132735E-2</v>
      </c>
      <c r="Q31" s="41">
        <f>VLOOKUP($A31,MasterTable[],Q$103,FALSE)</f>
        <v>1127</v>
      </c>
      <c r="R31" s="66">
        <f>VLOOKUP($A31,MasterTable[],R$103,FALSE)</f>
        <v>1.7387682053813872E-2</v>
      </c>
      <c r="S31" s="41">
        <f>VLOOKUP($A31,MasterTable[],S$103,FALSE)</f>
        <v>576</v>
      </c>
      <c r="T31" s="66">
        <f>VLOOKUP($A31,MasterTable[],T$103,FALSE)</f>
        <v>2.1336494295451178E-2</v>
      </c>
      <c r="U31" s="41">
        <f>VLOOKUP($A31,MasterTable[],U$103,FALSE)</f>
        <v>551</v>
      </c>
      <c r="V31" s="66">
        <f>VLOOKUP($A31,MasterTable[],V$103,FALSE)</f>
        <v>1.4569011105235325E-2</v>
      </c>
      <c r="W31" s="64">
        <f>VLOOKUP($A31,MasterTable[],W$103,FALSE)</f>
        <v>133</v>
      </c>
      <c r="X31" s="64">
        <f>VLOOKUP($A31,MasterTable[],X$103,FALSE)</f>
        <v>80</v>
      </c>
      <c r="Y31" s="64">
        <f>VLOOKUP($A31,MasterTable[],Y$103,FALSE)</f>
        <v>53</v>
      </c>
      <c r="Z31" s="41">
        <f>VLOOKUP($A31,MasterTable[],Z$103,FALSE)</f>
        <v>595</v>
      </c>
      <c r="AA31" s="66">
        <f>VLOOKUP($A31,MasterTable[],AA$103,FALSE)</f>
        <v>9.1798321402122938E-3</v>
      </c>
      <c r="AB31" s="41">
        <f>VLOOKUP($A31,MasterTable[],AB$103,FALSE)</f>
        <v>279</v>
      </c>
      <c r="AC31" s="66">
        <f>VLOOKUP($A31,MasterTable[],AC$103,FALSE)</f>
        <v>1.0334864424359165E-2</v>
      </c>
      <c r="AD31" s="41">
        <f>VLOOKUP($A31,MasterTable[],AD$103,FALSE)</f>
        <v>316</v>
      </c>
      <c r="AE31" s="66">
        <f>VLOOKUP($A31,MasterTable[],AE$103,FALSE)</f>
        <v>8.3553675304071928E-3</v>
      </c>
      <c r="AF31" s="41">
        <f>VLOOKUP($A31,MasterTable[],AF$103,FALSE)</f>
        <v>283</v>
      </c>
      <c r="AG31" s="66">
        <f>VLOOKUP($A31,MasterTable[],AG$103,FALSE)</f>
        <v>4.3662058750925693E-3</v>
      </c>
      <c r="AH31" s="41">
        <f>VLOOKUP($A31,MasterTable[],AH$103,FALSE)</f>
        <v>48</v>
      </c>
      <c r="AI31" s="66">
        <f>VLOOKUP($A31,MasterTable[],AI$103,FALSE)</f>
        <v>1.7780411912875981E-3</v>
      </c>
      <c r="AJ31" s="41">
        <f>VLOOKUP($A31,MasterTable[],AJ$103,FALSE)</f>
        <v>235</v>
      </c>
      <c r="AK31" s="66">
        <f>VLOOKUP($A31,MasterTable[],AK$103,FALSE)</f>
        <v>6.2136435748281335E-3</v>
      </c>
      <c r="AL31" s="41">
        <f>VLOOKUP($A31,MasterTable[],AL$103,FALSE)</f>
        <v>506</v>
      </c>
      <c r="AM31" s="66">
        <f>VLOOKUP($A31,MasterTable[],AM$103,FALSE)</f>
        <v>7.8067143915082696E-3</v>
      </c>
      <c r="AN31" s="41">
        <f>VLOOKUP($A31,MasterTable[],AN$103,FALSE)</f>
        <v>79</v>
      </c>
      <c r="AO31" s="66">
        <f>VLOOKUP($A31,MasterTable[],AO$103,FALSE)</f>
        <v>2.9263594606608388E-3</v>
      </c>
      <c r="AP31" s="41">
        <f>VLOOKUP($A31,MasterTable[],AP$103,FALSE)</f>
        <v>427</v>
      </c>
      <c r="AQ31" s="66">
        <f>VLOOKUP($A31,MasterTable[],AQ$103,FALSE)</f>
        <v>1.1290322580645161E-2</v>
      </c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</row>
    <row r="32" spans="1:61" s="84" customFormat="1" ht="20.149999999999999" customHeight="1" x14ac:dyDescent="0.35">
      <c r="A32" s="79" t="s">
        <v>57</v>
      </c>
      <c r="B32" s="38">
        <f>VLOOKUP($A32,MasterTable[],B$103,FALSE)</f>
        <v>64816</v>
      </c>
      <c r="C32" s="65">
        <f>VLOOKUP($A32,MasterTable[],C$103,FALSE)</f>
        <v>27910</v>
      </c>
      <c r="D32" s="65">
        <f>VLOOKUP($A32,MasterTable[],D$103,FALSE)</f>
        <v>36906</v>
      </c>
      <c r="E32" s="38">
        <f>VLOOKUP($A32,MasterTable[],E$103,FALSE)</f>
        <v>26996</v>
      </c>
      <c r="F32" s="65">
        <f>VLOOKUP($A32,MasterTable[],F$103,FALSE)</f>
        <v>14755</v>
      </c>
      <c r="G32" s="65">
        <f>VLOOKUP($A32,MasterTable[],G$103,FALSE)</f>
        <v>12241</v>
      </c>
      <c r="H32" s="38">
        <f>VLOOKUP($A32,MasterTable[],H$103,FALSE)</f>
        <v>37820</v>
      </c>
      <c r="I32" s="65">
        <f>VLOOKUP($A32,MasterTable[],I$103,FALSE)</f>
        <v>13155</v>
      </c>
      <c r="J32" s="65">
        <f>VLOOKUP($A32,MasterTable[],J$103,FALSE)</f>
        <v>24665</v>
      </c>
      <c r="K32" s="41">
        <f>VLOOKUP($A32,MasterTable[],K$103,FALSE)</f>
        <v>560</v>
      </c>
      <c r="L32" s="66">
        <f>VLOOKUP($A32,MasterTable[],L$103,FALSE)</f>
        <v>8.6021505376344086E-3</v>
      </c>
      <c r="M32" s="41">
        <f>VLOOKUP($A32,MasterTable[],M$103,FALSE)</f>
        <v>197</v>
      </c>
      <c r="N32" s="66">
        <f>VLOOKUP($A32,MasterTable[],N$103,FALSE)</f>
        <v>7.2715192676804964E-3</v>
      </c>
      <c r="O32" s="41">
        <f>VLOOKUP($A32,MasterTable[],O$103,FALSE)</f>
        <v>363</v>
      </c>
      <c r="P32" s="66">
        <f>VLOOKUP($A32,MasterTable[],P$103,FALSE)</f>
        <v>9.5506209219111769E-3</v>
      </c>
      <c r="Q32" s="41">
        <f>VLOOKUP($A32,MasterTable[],Q$103,FALSE)</f>
        <v>885</v>
      </c>
      <c r="R32" s="66">
        <f>VLOOKUP($A32,MasterTable[],R$103,FALSE)</f>
        <v>1.3594470046082949E-2</v>
      </c>
      <c r="S32" s="41">
        <f>VLOOKUP($A32,MasterTable[],S$103,FALSE)</f>
        <v>460</v>
      </c>
      <c r="T32" s="66">
        <f>VLOOKUP($A32,MasterTable[],T$103,FALSE)</f>
        <v>1.697918204636055E-2</v>
      </c>
      <c r="U32" s="41">
        <f>VLOOKUP($A32,MasterTable[],U$103,FALSE)</f>
        <v>425</v>
      </c>
      <c r="V32" s="66">
        <f>VLOOKUP($A32,MasterTable[],V$103,FALSE)</f>
        <v>1.1181856451273417E-2</v>
      </c>
      <c r="W32" s="64">
        <f>VLOOKUP($A32,MasterTable[],W$103,FALSE)</f>
        <v>-325</v>
      </c>
      <c r="X32" s="64">
        <f>VLOOKUP($A32,MasterTable[],X$103,FALSE)</f>
        <v>-263</v>
      </c>
      <c r="Y32" s="64">
        <f>VLOOKUP($A32,MasterTable[],Y$103,FALSE)</f>
        <v>-62</v>
      </c>
      <c r="Z32" s="41">
        <f>VLOOKUP($A32,MasterTable[],Z$103,FALSE)</f>
        <v>456</v>
      </c>
      <c r="AA32" s="66">
        <f>VLOOKUP($A32,MasterTable[],AA$103,FALSE)</f>
        <v>7.0046082949308756E-3</v>
      </c>
      <c r="AB32" s="41">
        <f>VLOOKUP($A32,MasterTable[],AB$103,FALSE)</f>
        <v>240</v>
      </c>
      <c r="AC32" s="66">
        <f>VLOOKUP($A32,MasterTable[],AC$103,FALSE)</f>
        <v>8.8587036763620262E-3</v>
      </c>
      <c r="AD32" s="41">
        <f>VLOOKUP($A32,MasterTable[],AD$103,FALSE)</f>
        <v>216</v>
      </c>
      <c r="AE32" s="66">
        <f>VLOOKUP($A32,MasterTable[],AE$103,FALSE)</f>
        <v>5.6830141022942539E-3</v>
      </c>
      <c r="AF32" s="41">
        <f>VLOOKUP($A32,MasterTable[],AF$103,FALSE)</f>
        <v>171</v>
      </c>
      <c r="AG32" s="66">
        <f>VLOOKUP($A32,MasterTable[],AG$103,FALSE)</f>
        <v>2.6267281105990786E-3</v>
      </c>
      <c r="AH32" s="41">
        <f>VLOOKUP($A32,MasterTable[],AH$103,FALSE)</f>
        <v>21</v>
      </c>
      <c r="AI32" s="66">
        <f>VLOOKUP($A32,MasterTable[],AI$103,FALSE)</f>
        <v>7.751365716816772E-4</v>
      </c>
      <c r="AJ32" s="41">
        <f>VLOOKUP($A32,MasterTable[],AJ$103,FALSE)</f>
        <v>150</v>
      </c>
      <c r="AK32" s="66">
        <f>VLOOKUP($A32,MasterTable[],AK$103,FALSE)</f>
        <v>3.9465375710376763E-3</v>
      </c>
      <c r="AL32" s="41">
        <f>VLOOKUP($A32,MasterTable[],AL$103,FALSE)</f>
        <v>259</v>
      </c>
      <c r="AM32" s="66">
        <f>VLOOKUP($A32,MasterTable[],AM$103,FALSE)</f>
        <v>3.9784946236559142E-3</v>
      </c>
      <c r="AN32" s="41">
        <f>VLOOKUP($A32,MasterTable[],AN$103,FALSE)</f>
        <v>44</v>
      </c>
      <c r="AO32" s="66">
        <f>VLOOKUP($A32,MasterTable[],AO$103,FALSE)</f>
        <v>1.6240956739997047E-3</v>
      </c>
      <c r="AP32" s="41">
        <f>VLOOKUP($A32,MasterTable[],AP$103,FALSE)</f>
        <v>215</v>
      </c>
      <c r="AQ32" s="66">
        <f>VLOOKUP($A32,MasterTable[],AQ$103,FALSE)</f>
        <v>5.6567038518206695E-3</v>
      </c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</row>
    <row r="33" spans="1:61" s="84" customFormat="1" ht="20.149999999999999" customHeight="1" x14ac:dyDescent="0.35">
      <c r="A33" s="79" t="s">
        <v>56</v>
      </c>
      <c r="B33" s="38">
        <f>VLOOKUP($A33,MasterTable[],B$103,FALSE)</f>
        <v>65100</v>
      </c>
      <c r="C33" s="65">
        <f>VLOOKUP($A33,MasterTable[],C$103,FALSE)</f>
        <v>28222</v>
      </c>
      <c r="D33" s="65">
        <f>VLOOKUP($A33,MasterTable[],D$103,FALSE)</f>
        <v>36878</v>
      </c>
      <c r="E33" s="38">
        <f>VLOOKUP($A33,MasterTable[],E$103,FALSE)</f>
        <v>27092</v>
      </c>
      <c r="F33" s="65">
        <f>VLOOKUP($A33,MasterTable[],F$103,FALSE)</f>
        <v>14907</v>
      </c>
      <c r="G33" s="65">
        <f>VLOOKUP($A33,MasterTable[],G$103,FALSE)</f>
        <v>12185</v>
      </c>
      <c r="H33" s="38">
        <f>VLOOKUP($A33,MasterTable[],H$103,FALSE)</f>
        <v>38008</v>
      </c>
      <c r="I33" s="65">
        <f>VLOOKUP($A33,MasterTable[],I$103,FALSE)</f>
        <v>13315</v>
      </c>
      <c r="J33" s="65">
        <f>VLOOKUP($A33,MasterTable[],J$103,FALSE)</f>
        <v>24693</v>
      </c>
      <c r="K33" s="41">
        <f>VLOOKUP($A33,MasterTable[],K$103,FALSE)</f>
        <v>914</v>
      </c>
      <c r="L33" s="66">
        <f>VLOOKUP($A33,MasterTable[],L$103,FALSE)</f>
        <v>1.3964431950131395E-2</v>
      </c>
      <c r="M33" s="41">
        <f>VLOOKUP($A33,MasterTable[],M$103,FALSE)</f>
        <v>348</v>
      </c>
      <c r="N33" s="66">
        <f>VLOOKUP($A33,MasterTable[],N$103,FALSE)</f>
        <v>1.2728137229801397E-2</v>
      </c>
      <c r="O33" s="41">
        <f>VLOOKUP($A33,MasterTable[],O$103,FALSE)</f>
        <v>566</v>
      </c>
      <c r="P33" s="66">
        <f>VLOOKUP($A33,MasterTable[],P$103,FALSE)</f>
        <v>1.4851355251764583E-2</v>
      </c>
      <c r="Q33" s="41">
        <f>VLOOKUP($A33,MasterTable[],Q$103,FALSE)</f>
        <v>1052</v>
      </c>
      <c r="R33" s="66">
        <f>VLOOKUP($A33,MasterTable[],R$103,FALSE)</f>
        <v>1.6072847277394119E-2</v>
      </c>
      <c r="S33" s="41">
        <f>VLOOKUP($A33,MasterTable[],S$103,FALSE)</f>
        <v>531</v>
      </c>
      <c r="T33" s="66">
        <f>VLOOKUP($A33,MasterTable[],T$103,FALSE)</f>
        <v>1.9421381807541788E-2</v>
      </c>
      <c r="U33" s="41">
        <f>VLOOKUP($A33,MasterTable[],U$103,FALSE)</f>
        <v>521</v>
      </c>
      <c r="V33" s="66">
        <f>VLOOKUP($A33,MasterTable[],V$103,FALSE)</f>
        <v>1.3670593791818635E-2</v>
      </c>
      <c r="W33" s="64">
        <f>VLOOKUP($A33,MasterTable[],W$103,FALSE)</f>
        <v>-138</v>
      </c>
      <c r="X33" s="64">
        <f>VLOOKUP($A33,MasterTable[],X$103,FALSE)</f>
        <v>-183</v>
      </c>
      <c r="Y33" s="64">
        <f>VLOOKUP($A33,MasterTable[],Y$103,FALSE)</f>
        <v>45</v>
      </c>
      <c r="Z33" s="41">
        <f>VLOOKUP($A33,MasterTable[],Z$103,FALSE)</f>
        <v>640</v>
      </c>
      <c r="AA33" s="66">
        <f>VLOOKUP($A33,MasterTable[],AA$103,FALSE)</f>
        <v>9.7781580394793125E-3</v>
      </c>
      <c r="AB33" s="41">
        <f>VLOOKUP($A33,MasterTable[],AB$103,FALSE)</f>
        <v>295</v>
      </c>
      <c r="AC33" s="66">
        <f>VLOOKUP($A33,MasterTable[],AC$103,FALSE)</f>
        <v>1.0789656559745437E-2</v>
      </c>
      <c r="AD33" s="41">
        <f>VLOOKUP($A33,MasterTable[],AD$103,FALSE)</f>
        <v>345</v>
      </c>
      <c r="AE33" s="66">
        <f>VLOOKUP($A33,MasterTable[],AE$103,FALSE)</f>
        <v>9.0525045262522634E-3</v>
      </c>
      <c r="AF33" s="41">
        <f>VLOOKUP($A33,MasterTable[],AF$103,FALSE)</f>
        <v>340</v>
      </c>
      <c r="AG33" s="66">
        <f>VLOOKUP($A33,MasterTable[],AG$103,FALSE)</f>
        <v>5.1946464584733849E-3</v>
      </c>
      <c r="AH33" s="41">
        <f>VLOOKUP($A33,MasterTable[],AH$103,FALSE)</f>
        <v>69</v>
      </c>
      <c r="AI33" s="66">
        <f>VLOOKUP($A33,MasterTable[],AI$103,FALSE)</f>
        <v>2.5236823817709666E-3</v>
      </c>
      <c r="AJ33" s="41">
        <f>VLOOKUP($A33,MasterTable[],AJ$103,FALSE)</f>
        <v>271</v>
      </c>
      <c r="AK33" s="66">
        <f>VLOOKUP($A33,MasterTable[],AK$103,FALSE)</f>
        <v>7.1108079032300387E-3</v>
      </c>
      <c r="AL33" s="41">
        <f>VLOOKUP($A33,MasterTable[],AL$103,FALSE)</f>
        <v>441</v>
      </c>
      <c r="AM33" s="66">
        <f>VLOOKUP($A33,MasterTable[],AM$103,FALSE)</f>
        <v>6.7377620240787143E-3</v>
      </c>
      <c r="AN33" s="41">
        <f>VLOOKUP($A33,MasterTable[],AN$103,FALSE)</f>
        <v>87</v>
      </c>
      <c r="AO33" s="66">
        <f>VLOOKUP($A33,MasterTable[],AO$103,FALSE)</f>
        <v>3.1820343074503493E-3</v>
      </c>
      <c r="AP33" s="41">
        <f>VLOOKUP($A33,MasterTable[],AP$103,FALSE)</f>
        <v>354</v>
      </c>
      <c r="AQ33" s="66">
        <f>VLOOKUP($A33,MasterTable[],AQ$103,FALSE)</f>
        <v>9.2886568182414531E-3</v>
      </c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s="84" customFormat="1" ht="20.149999999999999" customHeight="1" x14ac:dyDescent="0.35">
      <c r="A34" s="79" t="s">
        <v>55</v>
      </c>
      <c r="B34" s="38">
        <f>VLOOKUP($A34,MasterTable[],B$103,FALSE)</f>
        <v>65452</v>
      </c>
      <c r="C34" s="65">
        <f>VLOOKUP($A34,MasterTable[],C$103,FALSE)</f>
        <v>28308</v>
      </c>
      <c r="D34" s="65">
        <f>VLOOKUP($A34,MasterTable[],D$103,FALSE)</f>
        <v>37144</v>
      </c>
      <c r="E34" s="38">
        <f>VLOOKUP($A34,MasterTable[],E$103,FALSE)</f>
        <v>27341</v>
      </c>
      <c r="F34" s="65">
        <f>VLOOKUP($A34,MasterTable[],F$103,FALSE)</f>
        <v>15047</v>
      </c>
      <c r="G34" s="65">
        <f>VLOOKUP($A34,MasterTable[],G$103,FALSE)</f>
        <v>12294</v>
      </c>
      <c r="H34" s="38">
        <f>VLOOKUP($A34,MasterTable[],H$103,FALSE)</f>
        <v>38111</v>
      </c>
      <c r="I34" s="65">
        <f>VLOOKUP($A34,MasterTable[],I$103,FALSE)</f>
        <v>13261</v>
      </c>
      <c r="J34" s="65">
        <f>VLOOKUP($A34,MasterTable[],J$103,FALSE)</f>
        <v>24850</v>
      </c>
      <c r="K34" s="41">
        <f>VLOOKUP($A34,MasterTable[],K$103,FALSE)</f>
        <v>1209</v>
      </c>
      <c r="L34" s="66">
        <f>VLOOKUP($A34,MasterTable[],L$103,FALSE)</f>
        <v>1.8585989023659089E-2</v>
      </c>
      <c r="M34" s="41">
        <f>VLOOKUP($A34,MasterTable[],M$103,FALSE)</f>
        <v>510</v>
      </c>
      <c r="N34" s="66">
        <f>VLOOKUP($A34,MasterTable[],N$103,FALSE)</f>
        <v>1.8743109151047408E-2</v>
      </c>
      <c r="O34" s="41">
        <f>VLOOKUP($A34,MasterTable[],O$103,FALSE)</f>
        <v>699</v>
      </c>
      <c r="P34" s="66">
        <f>VLOOKUP($A34,MasterTable[],P$103,FALSE)</f>
        <v>1.8473004043447237E-2</v>
      </c>
      <c r="Q34" s="41">
        <f>VLOOKUP($A34,MasterTable[],Q$103,FALSE)</f>
        <v>1022</v>
      </c>
      <c r="R34" s="66">
        <f>VLOOKUP($A34,MasterTable[],R$103,FALSE)</f>
        <v>1.5711233070454581E-2</v>
      </c>
      <c r="S34" s="41">
        <f>VLOOKUP($A34,MasterTable[],S$103,FALSE)</f>
        <v>574</v>
      </c>
      <c r="T34" s="66">
        <f>VLOOKUP($A34,MasterTable[],T$103,FALSE)</f>
        <v>2.1095185593531789E-2</v>
      </c>
      <c r="U34" s="41">
        <f>VLOOKUP($A34,MasterTable[],U$103,FALSE)</f>
        <v>448</v>
      </c>
      <c r="V34" s="66">
        <f>VLOOKUP($A34,MasterTable[],V$103,FALSE)</f>
        <v>1.1839636354026269E-2</v>
      </c>
      <c r="W34" s="64">
        <f>VLOOKUP($A34,MasterTable[],W$103,FALSE)</f>
        <v>187</v>
      </c>
      <c r="X34" s="64">
        <f>VLOOKUP($A34,MasterTable[],X$103,FALSE)</f>
        <v>-64</v>
      </c>
      <c r="Y34" s="64">
        <f>VLOOKUP($A34,MasterTable[],Y$103,FALSE)</f>
        <v>251</v>
      </c>
      <c r="Z34" s="41">
        <f>VLOOKUP($A34,MasterTable[],Z$103,FALSE)</f>
        <v>585</v>
      </c>
      <c r="AA34" s="66">
        <f>VLOOKUP($A34,MasterTable[],AA$103,FALSE)</f>
        <v>8.993220495318914E-3</v>
      </c>
      <c r="AB34" s="41">
        <f>VLOOKUP($A34,MasterTable[],AB$103,FALSE)</f>
        <v>285</v>
      </c>
      <c r="AC34" s="66">
        <f>VLOOKUP($A34,MasterTable[],AC$103,FALSE)</f>
        <v>1.0474090407938258E-2</v>
      </c>
      <c r="AD34" s="41">
        <f>VLOOKUP($A34,MasterTable[],AD$103,FALSE)</f>
        <v>300</v>
      </c>
      <c r="AE34" s="66">
        <f>VLOOKUP($A34,MasterTable[],AE$103,FALSE)</f>
        <v>7.9283279156425902E-3</v>
      </c>
      <c r="AF34" s="41">
        <f>VLOOKUP($A34,MasterTable[],AF$103,FALSE)</f>
        <v>463</v>
      </c>
      <c r="AG34" s="66">
        <f>VLOOKUP($A34,MasterTable[],AG$103,FALSE)</f>
        <v>7.1177112638165074E-3</v>
      </c>
      <c r="AH34" s="41">
        <f>VLOOKUP($A34,MasterTable[],AH$103,FALSE)</f>
        <v>85</v>
      </c>
      <c r="AI34" s="66">
        <f>VLOOKUP($A34,MasterTable[],AI$103,FALSE)</f>
        <v>3.1238515251745683E-3</v>
      </c>
      <c r="AJ34" s="41">
        <f>VLOOKUP($A34,MasterTable[],AJ$103,FALSE)</f>
        <v>378</v>
      </c>
      <c r="AK34" s="66">
        <f>VLOOKUP($A34,MasterTable[],AK$103,FALSE)</f>
        <v>9.9896931737096639E-3</v>
      </c>
      <c r="AL34" s="41">
        <f>VLOOKUP($A34,MasterTable[],AL$103,FALSE)</f>
        <v>601</v>
      </c>
      <c r="AM34" s="66">
        <f>VLOOKUP($A34,MasterTable[],AM$103,FALSE)</f>
        <v>9.2391889191225079E-3</v>
      </c>
      <c r="AN34" s="41">
        <f>VLOOKUP($A34,MasterTable[],AN$103,FALSE)</f>
        <v>100</v>
      </c>
      <c r="AO34" s="66">
        <f>VLOOKUP($A34,MasterTable[],AO$103,FALSE)</f>
        <v>3.6751194413818448E-3</v>
      </c>
      <c r="AP34" s="41">
        <f>VLOOKUP($A34,MasterTable[],AP$103,FALSE)</f>
        <v>501</v>
      </c>
      <c r="AQ34" s="66">
        <f>VLOOKUP($A34,MasterTable[],AQ$103,FALSE)</f>
        <v>1.3240307619123128E-2</v>
      </c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</row>
    <row r="35" spans="1:61" s="84" customFormat="1" ht="20.149999999999999" customHeight="1" x14ac:dyDescent="0.35">
      <c r="A35" s="79" t="s">
        <v>54</v>
      </c>
      <c r="B35" s="38">
        <f>VLOOKUP($A35,MasterTable[],B$103,FALSE)</f>
        <v>65049</v>
      </c>
      <c r="C35" s="65">
        <f>VLOOKUP($A35,MasterTable[],C$103,FALSE)</f>
        <v>28104</v>
      </c>
      <c r="D35" s="65">
        <f>VLOOKUP($A35,MasterTable[],D$103,FALSE)</f>
        <v>36945</v>
      </c>
      <c r="E35" s="38">
        <f>VLOOKUP($A35,MasterTable[],E$103,FALSE)</f>
        <v>27210</v>
      </c>
      <c r="F35" s="65">
        <f>VLOOKUP($A35,MasterTable[],F$103,FALSE)</f>
        <v>14953</v>
      </c>
      <c r="G35" s="65">
        <f>VLOOKUP($A35,MasterTable[],G$103,FALSE)</f>
        <v>12257</v>
      </c>
      <c r="H35" s="38">
        <f>VLOOKUP($A35,MasterTable[],H$103,FALSE)</f>
        <v>37839</v>
      </c>
      <c r="I35" s="65">
        <f>VLOOKUP($A35,MasterTable[],I$103,FALSE)</f>
        <v>13151</v>
      </c>
      <c r="J35" s="65">
        <f>VLOOKUP($A35,MasterTable[],J$103,FALSE)</f>
        <v>24688</v>
      </c>
      <c r="K35" s="41">
        <f>VLOOKUP($A35,MasterTable[],K$103,FALSE)</f>
        <v>1367</v>
      </c>
      <c r="L35" s="66">
        <f>VLOOKUP($A35,MasterTable[],L$103,FALSE)</f>
        <v>2.1221765116820616E-2</v>
      </c>
      <c r="M35" s="41">
        <f>VLOOKUP($A35,MasterTable[],M$103,FALSE)</f>
        <v>544</v>
      </c>
      <c r="N35" s="66">
        <f>VLOOKUP($A35,MasterTable[],N$103,FALSE)</f>
        <v>2.0164578545481503E-2</v>
      </c>
      <c r="O35" s="41">
        <f>VLOOKUP($A35,MasterTable[],O$103,FALSE)</f>
        <v>823</v>
      </c>
      <c r="P35" s="66">
        <f>VLOOKUP($A35,MasterTable[],P$103,FALSE)</f>
        <v>2.1983599113176804E-2</v>
      </c>
      <c r="Q35" s="41">
        <f>VLOOKUP($A35,MasterTable[],Q$103,FALSE)</f>
        <v>910</v>
      </c>
      <c r="R35" s="66">
        <f>VLOOKUP($A35,MasterTable[],R$103,FALSE)</f>
        <v>1.4127144298688193E-2</v>
      </c>
      <c r="S35" s="41">
        <f>VLOOKUP($A35,MasterTable[],S$103,FALSE)</f>
        <v>495</v>
      </c>
      <c r="T35" s="66">
        <f>VLOOKUP($A35,MasterTable[],T$103,FALSE)</f>
        <v>1.8348283786789234E-2</v>
      </c>
      <c r="U35" s="41">
        <f>VLOOKUP($A35,MasterTable[],U$103,FALSE)</f>
        <v>415</v>
      </c>
      <c r="V35" s="66">
        <f>VLOOKUP($A35,MasterTable[],V$103,FALSE)</f>
        <v>1.1085289953789032E-2</v>
      </c>
      <c r="W35" s="64">
        <f>VLOOKUP($A35,MasterTable[],W$103,FALSE)</f>
        <v>457</v>
      </c>
      <c r="X35" s="64">
        <f>VLOOKUP($A35,MasterTable[],X$103,FALSE)</f>
        <v>49</v>
      </c>
      <c r="Y35" s="64">
        <f>VLOOKUP($A35,MasterTable[],Y$103,FALSE)</f>
        <v>408</v>
      </c>
      <c r="Z35" s="41">
        <f>VLOOKUP($A35,MasterTable[],Z$103,FALSE)</f>
        <v>408</v>
      </c>
      <c r="AA35" s="66">
        <f>VLOOKUP($A35,MasterTable[],AA$103,FALSE)</f>
        <v>6.3339284328184425E-3</v>
      </c>
      <c r="AB35" s="41">
        <f>VLOOKUP($A35,MasterTable[],AB$103,FALSE)</f>
        <v>209</v>
      </c>
      <c r="AC35" s="66">
        <f>VLOOKUP($A35,MasterTable[],AC$103,FALSE)</f>
        <v>7.7470531544221221E-3</v>
      </c>
      <c r="AD35" s="41">
        <f>VLOOKUP($A35,MasterTable[],AD$103,FALSE)</f>
        <v>199</v>
      </c>
      <c r="AE35" s="66">
        <f>VLOOKUP($A35,MasterTable[],AE$103,FALSE)</f>
        <v>5.3155968694072707E-3</v>
      </c>
      <c r="AF35" s="41">
        <f>VLOOKUP($A35,MasterTable[],AF$103,FALSE)</f>
        <v>445</v>
      </c>
      <c r="AG35" s="66">
        <f>VLOOKUP($A35,MasterTable[],AG$103,FALSE)</f>
        <v>6.9083288054024687E-3</v>
      </c>
      <c r="AH35" s="41">
        <f>VLOOKUP($A35,MasterTable[],AH$103,FALSE)</f>
        <v>73</v>
      </c>
      <c r="AI35" s="66">
        <f>VLOOKUP($A35,MasterTable[],AI$103,FALSE)</f>
        <v>2.705908518051746E-3</v>
      </c>
      <c r="AJ35" s="41">
        <f>VLOOKUP($A35,MasterTable[],AJ$103,FALSE)</f>
        <v>372</v>
      </c>
      <c r="AK35" s="66">
        <f>VLOOKUP($A35,MasterTable[],AK$103,FALSE)</f>
        <v>9.9366936453241447E-3</v>
      </c>
      <c r="AL35" s="41">
        <f>VLOOKUP($A35,MasterTable[],AL$103,FALSE)</f>
        <v>633</v>
      </c>
      <c r="AM35" s="66">
        <f>VLOOKUP($A35,MasterTable[],AM$103,FALSE)</f>
        <v>9.8269036715050839E-3</v>
      </c>
      <c r="AN35" s="41">
        <f>VLOOKUP($A35,MasterTable[],AN$103,FALSE)</f>
        <v>93</v>
      </c>
      <c r="AO35" s="66">
        <f>VLOOKUP($A35,MasterTable[],AO$103,FALSE)</f>
        <v>3.4472533175179776E-3</v>
      </c>
      <c r="AP35" s="41">
        <f>VLOOKUP($A35,MasterTable[],AP$103,FALSE)</f>
        <v>540</v>
      </c>
      <c r="AQ35" s="66">
        <f>VLOOKUP($A35,MasterTable[],AQ$103,FALSE)</f>
        <v>1.4424232710954403E-2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</row>
    <row r="36" spans="1:61" s="84" customFormat="1" ht="20.149999999999999" customHeight="1" x14ac:dyDescent="0.35">
      <c r="A36" s="79" t="s">
        <v>53</v>
      </c>
      <c r="B36" s="38">
        <f>VLOOKUP($A36,MasterTable[],B$103,FALSE)</f>
        <v>64415</v>
      </c>
      <c r="C36" s="65">
        <f>VLOOKUP($A36,MasterTable[],C$103,FALSE)</f>
        <v>27841</v>
      </c>
      <c r="D36" s="65">
        <f>VLOOKUP($A36,MasterTable[],D$103,FALSE)</f>
        <v>36574</v>
      </c>
      <c r="E36" s="38">
        <f>VLOOKUP($A36,MasterTable[],E$103,FALSE)</f>
        <v>26978</v>
      </c>
      <c r="F36" s="65">
        <f>VLOOKUP($A36,MasterTable[],F$103,FALSE)</f>
        <v>14825</v>
      </c>
      <c r="G36" s="65">
        <f>VLOOKUP($A36,MasterTable[],G$103,FALSE)</f>
        <v>12153</v>
      </c>
      <c r="H36" s="38">
        <f>VLOOKUP($A36,MasterTable[],H$103,FALSE)</f>
        <v>37437</v>
      </c>
      <c r="I36" s="65">
        <f>VLOOKUP($A36,MasterTable[],I$103,FALSE)</f>
        <v>13016</v>
      </c>
      <c r="J36" s="65">
        <f>VLOOKUP($A36,MasterTable[],J$103,FALSE)</f>
        <v>24421</v>
      </c>
      <c r="K36" s="41">
        <f>VLOOKUP($A36,MasterTable[],K$103,FALSE)</f>
        <v>1304</v>
      </c>
      <c r="L36" s="66">
        <f>VLOOKUP($A36,MasterTable[],L$103,FALSE)</f>
        <v>2.0309312068777549E-2</v>
      </c>
      <c r="M36" s="41">
        <f>VLOOKUP($A36,MasterTable[],M$103,FALSE)</f>
        <v>472</v>
      </c>
      <c r="N36" s="66">
        <f>VLOOKUP($A36,MasterTable[],N$103,FALSE)</f>
        <v>1.7454330301013239E-2</v>
      </c>
      <c r="O36" s="41">
        <f>VLOOKUP($A36,MasterTable[],O$103,FALSE)</f>
        <v>832</v>
      </c>
      <c r="P36" s="66">
        <f>VLOOKUP($A36,MasterTable[],P$103,FALSE)</f>
        <v>2.2386654110049777E-2</v>
      </c>
      <c r="Q36" s="41">
        <f>VLOOKUP($A36,MasterTable[],Q$103,FALSE)</f>
        <v>1045</v>
      </c>
      <c r="R36" s="66">
        <f>VLOOKUP($A36,MasterTable[],R$103,FALSE)</f>
        <v>1.6275483981497346E-2</v>
      </c>
      <c r="S36" s="41">
        <f>VLOOKUP($A36,MasterTable[],S$103,FALSE)</f>
        <v>572</v>
      </c>
      <c r="T36" s="66">
        <f>VLOOKUP($A36,MasterTable[],T$103,FALSE)</f>
        <v>2.1152281635973672E-2</v>
      </c>
      <c r="U36" s="41">
        <f>VLOOKUP($A36,MasterTable[],U$103,FALSE)</f>
        <v>473</v>
      </c>
      <c r="V36" s="66">
        <f>VLOOKUP($A36,MasterTable[],V$103,FALSE)</f>
        <v>1.2727028117852819E-2</v>
      </c>
      <c r="W36" s="64">
        <f>VLOOKUP($A36,MasterTable[],W$103,FALSE)</f>
        <v>259</v>
      </c>
      <c r="X36" s="64">
        <f>VLOOKUP($A36,MasterTable[],X$103,FALSE)</f>
        <v>-100</v>
      </c>
      <c r="Y36" s="64">
        <f>VLOOKUP($A36,MasterTable[],Y$103,FALSE)</f>
        <v>359</v>
      </c>
      <c r="Z36" s="41">
        <f>VLOOKUP($A36,MasterTable[],Z$103,FALSE)</f>
        <v>548</v>
      </c>
      <c r="AA36" s="66">
        <f>VLOOKUP($A36,MasterTable[],AA$103,FALSE)</f>
        <v>8.5348949491488475E-3</v>
      </c>
      <c r="AB36" s="41">
        <f>VLOOKUP($A36,MasterTable[],AB$103,FALSE)</f>
        <v>262</v>
      </c>
      <c r="AC36" s="66">
        <f>VLOOKUP($A36,MasterTable[],AC$103,FALSE)</f>
        <v>9.6886324975963313E-3</v>
      </c>
      <c r="AD36" s="41">
        <f>VLOOKUP($A36,MasterTable[],AD$103,FALSE)</f>
        <v>286</v>
      </c>
      <c r="AE36" s="66">
        <f>VLOOKUP($A36,MasterTable[],AE$103,FALSE)</f>
        <v>7.6954123503296112E-3</v>
      </c>
      <c r="AF36" s="41">
        <f>VLOOKUP($A36,MasterTable[],AF$103,FALSE)</f>
        <v>499</v>
      </c>
      <c r="AG36" s="66">
        <f>VLOOKUP($A36,MasterTable[],AG$103,FALSE)</f>
        <v>7.7717382839877268E-3</v>
      </c>
      <c r="AH36" s="41">
        <f>VLOOKUP($A36,MasterTable[],AH$103,FALSE)</f>
        <v>75</v>
      </c>
      <c r="AI36" s="66">
        <f>VLOOKUP($A36,MasterTable[],AI$103,FALSE)</f>
        <v>2.7734635012203238E-3</v>
      </c>
      <c r="AJ36" s="41">
        <f>VLOOKUP($A36,MasterTable[],AJ$103,FALSE)</f>
        <v>424</v>
      </c>
      <c r="AK36" s="66">
        <f>VLOOKUP($A36,MasterTable[],AK$103,FALSE)</f>
        <v>1.1408583344544598E-2</v>
      </c>
      <c r="AL36" s="41">
        <f>VLOOKUP($A36,MasterTable[],AL$103,FALSE)</f>
        <v>700</v>
      </c>
      <c r="AM36" s="66">
        <f>VLOOKUP($A36,MasterTable[],AM$103,FALSE)</f>
        <v>1.0902238073730279E-2</v>
      </c>
      <c r="AN36" s="41">
        <f>VLOOKUP($A36,MasterTable[],AN$103,FALSE)</f>
        <v>101</v>
      </c>
      <c r="AO36" s="66">
        <f>VLOOKUP($A36,MasterTable[],AO$103,FALSE)</f>
        <v>3.7349308483100364E-3</v>
      </c>
      <c r="AP36" s="41">
        <f>VLOOKUP($A36,MasterTable[],AP$103,FALSE)</f>
        <v>599</v>
      </c>
      <c r="AQ36" s="66">
        <f>VLOOKUP($A36,MasterTable[],AQ$103,FALSE)</f>
        <v>1.6117314677788243E-2</v>
      </c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</row>
    <row r="37" spans="1:61" s="84" customFormat="1" ht="20.149999999999999" customHeight="1" x14ac:dyDescent="0.35">
      <c r="A37" s="79" t="s">
        <v>52</v>
      </c>
      <c r="B37" s="38">
        <f>VLOOKUP($A37,MasterTable[],B$103,FALSE)</f>
        <v>64207</v>
      </c>
      <c r="C37" s="65">
        <f>VLOOKUP($A37,MasterTable[],C$103,FALSE)</f>
        <v>27935</v>
      </c>
      <c r="D37" s="65">
        <f>VLOOKUP($A37,MasterTable[],D$103,FALSE)</f>
        <v>36272</v>
      </c>
      <c r="E37" s="38">
        <f>VLOOKUP($A37,MasterTable[],E$103,FALSE)</f>
        <v>27042</v>
      </c>
      <c r="F37" s="65">
        <f>VLOOKUP($A37,MasterTable[],F$103,FALSE)</f>
        <v>14998</v>
      </c>
      <c r="G37" s="65">
        <f>VLOOKUP($A37,MasterTable[],G$103,FALSE)</f>
        <v>12044</v>
      </c>
      <c r="H37" s="38">
        <f>VLOOKUP($A37,MasterTable[],H$103,FALSE)</f>
        <v>37165</v>
      </c>
      <c r="I37" s="65">
        <f>VLOOKUP($A37,MasterTable[],I$103,FALSE)</f>
        <v>12937</v>
      </c>
      <c r="J37" s="65">
        <f>VLOOKUP($A37,MasterTable[],J$103,FALSE)</f>
        <v>24228</v>
      </c>
      <c r="K37" s="41">
        <f>VLOOKUP($A37,MasterTable[],K$103,FALSE)</f>
        <v>1127</v>
      </c>
      <c r="L37" s="66">
        <f>VLOOKUP($A37,MasterTable[],L$103,FALSE)</f>
        <v>1.7501087024038759E-2</v>
      </c>
      <c r="M37" s="41">
        <f>VLOOKUP($A37,MasterTable[],M$103,FALSE)</f>
        <v>345</v>
      </c>
      <c r="N37" s="66">
        <f>VLOOKUP($A37,MasterTable[],N$103,FALSE)</f>
        <v>1.2680560149961407E-2</v>
      </c>
      <c r="O37" s="41">
        <f>VLOOKUP($A37,MasterTable[],O$103,FALSE)</f>
        <v>782</v>
      </c>
      <c r="P37" s="66">
        <f>VLOOKUP($A37,MasterTable[],P$103,FALSE)</f>
        <v>2.1027723251499097E-2</v>
      </c>
      <c r="Q37" s="41">
        <f>VLOOKUP($A37,MasterTable[],Q$103,FALSE)</f>
        <v>1093</v>
      </c>
      <c r="R37" s="66">
        <f>VLOOKUP($A37,MasterTable[],R$103,FALSE)</f>
        <v>1.6973103919498106E-2</v>
      </c>
      <c r="S37" s="41">
        <f>VLOOKUP($A37,MasterTable[],S$103,FALSE)</f>
        <v>531</v>
      </c>
      <c r="T37" s="66">
        <f>VLOOKUP($A37,MasterTable[],T$103,FALSE)</f>
        <v>1.951703605689712E-2</v>
      </c>
      <c r="U37" s="41">
        <f>VLOOKUP($A37,MasterTable[],U$103,FALSE)</f>
        <v>562</v>
      </c>
      <c r="V37" s="66">
        <f>VLOOKUP($A37,MasterTable[],V$103,FALSE)</f>
        <v>1.5111995482535159E-2</v>
      </c>
      <c r="W37" s="64">
        <f>VLOOKUP($A37,MasterTable[],W$103,FALSE)</f>
        <v>34</v>
      </c>
      <c r="X37" s="64">
        <f>VLOOKUP($A37,MasterTable[],X$103,FALSE)</f>
        <v>-186</v>
      </c>
      <c r="Y37" s="64">
        <f>VLOOKUP($A37,MasterTable[],Y$103,FALSE)</f>
        <v>220</v>
      </c>
      <c r="Z37" s="41">
        <f>VLOOKUP($A37,MasterTable[],Z$103,FALSE)</f>
        <v>644</v>
      </c>
      <c r="AA37" s="66">
        <f>VLOOKUP($A37,MasterTable[],AA$103,FALSE)</f>
        <v>1.0000621156593578E-2</v>
      </c>
      <c r="AB37" s="41">
        <f>VLOOKUP($A37,MasterTable[],AB$103,FALSE)</f>
        <v>282</v>
      </c>
      <c r="AC37" s="66">
        <f>VLOOKUP($A37,MasterTable[],AC$103,FALSE)</f>
        <v>1.036497960083802E-2</v>
      </c>
      <c r="AD37" s="41">
        <f>VLOOKUP($A37,MasterTable[],AD$103,FALSE)</f>
        <v>362</v>
      </c>
      <c r="AE37" s="66">
        <f>VLOOKUP($A37,MasterTable[],AE$103,FALSE)</f>
        <v>9.7340611471133931E-3</v>
      </c>
      <c r="AF37" s="41">
        <f>VLOOKUP($A37,MasterTable[],AF$103,FALSE)</f>
        <v>365</v>
      </c>
      <c r="AG37" s="66">
        <f>VLOOKUP($A37,MasterTable[],AG$103,FALSE)</f>
        <v>5.6680539163923224E-3</v>
      </c>
      <c r="AH37" s="41">
        <f>VLOOKUP($A37,MasterTable[],AH$103,FALSE)</f>
        <v>57</v>
      </c>
      <c r="AI37" s="66">
        <f>VLOOKUP($A37,MasterTable[],AI$103,FALSE)</f>
        <v>2.0950490682544935E-3</v>
      </c>
      <c r="AJ37" s="41">
        <f>VLOOKUP($A37,MasterTable[],AJ$103,FALSE)</f>
        <v>308</v>
      </c>
      <c r="AK37" s="66">
        <f>VLOOKUP($A37,MasterTable[],AK$103,FALSE)</f>
        <v>8.2820188765495174E-3</v>
      </c>
      <c r="AL37" s="41">
        <f>VLOOKUP($A37,MasterTable[],AL$103,FALSE)</f>
        <v>533</v>
      </c>
      <c r="AM37" s="66">
        <f>VLOOKUP($A37,MasterTable[],AM$103,FALSE)</f>
        <v>8.2769116094167337E-3</v>
      </c>
      <c r="AN37" s="41">
        <f>VLOOKUP($A37,MasterTable[],AN$103,FALSE)</f>
        <v>70</v>
      </c>
      <c r="AO37" s="66">
        <f>VLOOKUP($A37,MasterTable[],AO$103,FALSE)</f>
        <v>2.5728672768037639E-3</v>
      </c>
      <c r="AP37" s="41">
        <f>VLOOKUP($A37,MasterTable[],AP$103,FALSE)</f>
        <v>463</v>
      </c>
      <c r="AQ37" s="66">
        <f>VLOOKUP($A37,MasterTable[],AQ$103,FALSE)</f>
        <v>1.2449917986501385E-2</v>
      </c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</row>
    <row r="38" spans="1:61" s="84" customFormat="1" ht="20.149999999999999" customHeight="1" x14ac:dyDescent="0.35">
      <c r="A38" s="79" t="s">
        <v>51</v>
      </c>
      <c r="B38" s="38">
        <f>VLOOKUP($A38,MasterTable[],B$103,FALSE)</f>
        <v>64396</v>
      </c>
      <c r="C38" s="65">
        <f>VLOOKUP($A38,MasterTable[],C$103,FALSE)</f>
        <v>28149</v>
      </c>
      <c r="D38" s="65">
        <f>VLOOKUP($A38,MasterTable[],D$103,FALSE)</f>
        <v>36247</v>
      </c>
      <c r="E38" s="38">
        <f>VLOOKUP($A38,MasterTable[],E$103,FALSE)</f>
        <v>27207</v>
      </c>
      <c r="F38" s="65">
        <f>VLOOKUP($A38,MasterTable[],F$103,FALSE)</f>
        <v>15211</v>
      </c>
      <c r="G38" s="65">
        <f>VLOOKUP($A38,MasterTable[],G$103,FALSE)</f>
        <v>11996</v>
      </c>
      <c r="H38" s="38">
        <f>VLOOKUP($A38,MasterTable[],H$103,FALSE)</f>
        <v>37189</v>
      </c>
      <c r="I38" s="65">
        <f>VLOOKUP($A38,MasterTable[],I$103,FALSE)</f>
        <v>12938</v>
      </c>
      <c r="J38" s="65">
        <f>VLOOKUP($A38,MasterTable[],J$103,FALSE)</f>
        <v>24251</v>
      </c>
      <c r="K38" s="41">
        <f>VLOOKUP($A38,MasterTable[],K$103,FALSE)</f>
        <v>1109</v>
      </c>
      <c r="L38" s="66">
        <f>VLOOKUP($A38,MasterTable[],L$103,FALSE)</f>
        <v>1.728625983945133E-2</v>
      </c>
      <c r="M38" s="41">
        <f>VLOOKUP($A38,MasterTable[],M$103,FALSE)</f>
        <v>450</v>
      </c>
      <c r="N38" s="66">
        <f>VLOOKUP($A38,MasterTable[],N$103,FALSE)</f>
        <v>1.6614975631369076E-2</v>
      </c>
      <c r="O38" s="41">
        <f>VLOOKUP($A38,MasterTable[],O$103,FALSE)</f>
        <v>659</v>
      </c>
      <c r="P38" s="66">
        <f>VLOOKUP($A38,MasterTable[],P$103,FALSE)</f>
        <v>1.777669876723045E-2</v>
      </c>
      <c r="Q38" s="41">
        <f>VLOOKUP($A38,MasterTable[],Q$103,FALSE)</f>
        <v>1134</v>
      </c>
      <c r="R38" s="66">
        <f>VLOOKUP($A38,MasterTable[],R$103,FALSE)</f>
        <v>1.7675941080196399E-2</v>
      </c>
      <c r="S38" s="41">
        <f>VLOOKUP($A38,MasterTable[],S$103,FALSE)</f>
        <v>619</v>
      </c>
      <c r="T38" s="66">
        <f>VLOOKUP($A38,MasterTable[],T$103,FALSE)</f>
        <v>2.2854822035149904E-2</v>
      </c>
      <c r="U38" s="41">
        <f>VLOOKUP($A38,MasterTable[],U$103,FALSE)</f>
        <v>515</v>
      </c>
      <c r="V38" s="66">
        <f>VLOOKUP($A38,MasterTable[],V$103,FALSE)</f>
        <v>1.389226079684929E-2</v>
      </c>
      <c r="W38" s="64">
        <f>VLOOKUP($A38,MasterTable[],W$103,FALSE)</f>
        <v>-25</v>
      </c>
      <c r="X38" s="64">
        <f>VLOOKUP($A38,MasterTable[],X$103,FALSE)</f>
        <v>-169</v>
      </c>
      <c r="Y38" s="64">
        <f>VLOOKUP($A38,MasterTable[],Y$103,FALSE)</f>
        <v>144</v>
      </c>
      <c r="Z38" s="41">
        <f>VLOOKUP($A38,MasterTable[],Z$103,FALSE)</f>
        <v>670</v>
      </c>
      <c r="AA38" s="66">
        <f>VLOOKUP($A38,MasterTable[],AA$103,FALSE)</f>
        <v>1.0443457251967891E-2</v>
      </c>
      <c r="AB38" s="41">
        <f>VLOOKUP($A38,MasterTable[],AB$103,FALSE)</f>
        <v>352</v>
      </c>
      <c r="AC38" s="66">
        <f>VLOOKUP($A38,MasterTable[],AC$103,FALSE)</f>
        <v>1.2996603160537587E-2</v>
      </c>
      <c r="AD38" s="41">
        <f>VLOOKUP($A38,MasterTable[],AD$103,FALSE)</f>
        <v>318</v>
      </c>
      <c r="AE38" s="66">
        <f>VLOOKUP($A38,MasterTable[],AE$103,FALSE)</f>
        <v>8.5781338512583953E-3</v>
      </c>
      <c r="AF38" s="41">
        <f>VLOOKUP($A38,MasterTable[],AF$103,FALSE)</f>
        <v>555</v>
      </c>
      <c r="AG38" s="66">
        <f>VLOOKUP($A38,MasterTable[],AG$103,FALSE)</f>
        <v>8.650923544540565E-3</v>
      </c>
      <c r="AH38" s="41">
        <f>VLOOKUP($A38,MasterTable[],AH$103,FALSE)</f>
        <v>111</v>
      </c>
      <c r="AI38" s="66">
        <f>VLOOKUP($A38,MasterTable[],AI$103,FALSE)</f>
        <v>4.0983606557377051E-3</v>
      </c>
      <c r="AJ38" s="41">
        <f>VLOOKUP($A38,MasterTable[],AJ$103,FALSE)</f>
        <v>444</v>
      </c>
      <c r="AK38" s="66">
        <f>VLOOKUP($A38,MasterTable[],AK$103,FALSE)</f>
        <v>1.1977017075341911E-2</v>
      </c>
      <c r="AL38" s="41">
        <f>VLOOKUP($A38,MasterTable[],AL$103,FALSE)</f>
        <v>751</v>
      </c>
      <c r="AM38" s="66">
        <f>VLOOKUP($A38,MasterTable[],AM$103,FALSE)</f>
        <v>1.1706024471981919E-2</v>
      </c>
      <c r="AN38" s="41">
        <f>VLOOKUP($A38,MasterTable[],AN$103,FALSE)</f>
        <v>133</v>
      </c>
      <c r="AO38" s="66">
        <f>VLOOKUP($A38,MasterTable[],AO$103,FALSE)</f>
        <v>4.9106483532713038E-3</v>
      </c>
      <c r="AP38" s="41">
        <f>VLOOKUP($A38,MasterTable[],AP$103,FALSE)</f>
        <v>618</v>
      </c>
      <c r="AQ38" s="66">
        <f>VLOOKUP($A38,MasterTable[],AQ$103,FALSE)</f>
        <v>1.6670712956219146E-2</v>
      </c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</row>
    <row r="39" spans="1:61" s="84" customFormat="1" ht="20.149999999999999" customHeight="1" x14ac:dyDescent="0.35">
      <c r="A39" s="80" t="s">
        <v>50</v>
      </c>
      <c r="B39" s="38">
        <f>VLOOKUP($A39,MasterTable[],B$103,FALSE)</f>
        <v>64155</v>
      </c>
      <c r="C39" s="65">
        <f>VLOOKUP($A39,MasterTable[],C$103,FALSE)</f>
        <v>28151</v>
      </c>
      <c r="D39" s="65">
        <f>VLOOKUP($A39,MasterTable[],D$103,FALSE)</f>
        <v>36004</v>
      </c>
      <c r="E39" s="38">
        <f>VLOOKUP($A39,MasterTable[],E$103,FALSE)</f>
        <v>27084</v>
      </c>
      <c r="F39" s="65">
        <f>VLOOKUP($A39,MasterTable[],F$103,FALSE)</f>
        <v>15180</v>
      </c>
      <c r="G39" s="65">
        <f>VLOOKUP($A39,MasterTable[],G$103,FALSE)</f>
        <v>11904</v>
      </c>
      <c r="H39" s="38">
        <f>VLOOKUP($A39,MasterTable[],H$103,FALSE)</f>
        <v>37071</v>
      </c>
      <c r="I39" s="65">
        <f>VLOOKUP($A39,MasterTable[],I$103,FALSE)</f>
        <v>12971</v>
      </c>
      <c r="J39" s="65">
        <f>VLOOKUP($A39,MasterTable[],J$103,FALSE)</f>
        <v>24100</v>
      </c>
      <c r="K39" s="41">
        <f>VLOOKUP($A39,MasterTable[],K$103,FALSE)</f>
        <v>1301</v>
      </c>
      <c r="L39" s="66">
        <f>VLOOKUP($A39,MasterTable[],L$103,FALSE)</f>
        <v>2.0395685708910767E-2</v>
      </c>
      <c r="M39" s="41">
        <f>VLOOKUP($A39,MasterTable[],M$103,FALSE)</f>
        <v>495</v>
      </c>
      <c r="N39" s="66">
        <f>VLOOKUP($A39,MasterTable[],N$103,FALSE)</f>
        <v>1.8310275948805209E-2</v>
      </c>
      <c r="O39" s="41">
        <f>VLOOKUP($A39,MasterTable[],O$103,FALSE)</f>
        <v>806</v>
      </c>
      <c r="P39" s="66">
        <f>VLOOKUP($A39,MasterTable[],P$103,FALSE)</f>
        <v>2.1929585895412745E-2</v>
      </c>
      <c r="Q39" s="41">
        <f>VLOOKUP($A39,MasterTable[],Q$103,FALSE)</f>
        <v>1023</v>
      </c>
      <c r="R39" s="66">
        <f>VLOOKUP($A39,MasterTable[],R$103,FALSE)</f>
        <v>1.6037499216153508E-2</v>
      </c>
      <c r="S39" s="41">
        <f>VLOOKUP($A39,MasterTable[],S$103,FALSE)</f>
        <v>568</v>
      </c>
      <c r="T39" s="66">
        <f>VLOOKUP($A39,MasterTable[],T$103,FALSE)</f>
        <v>2.10105792705482E-2</v>
      </c>
      <c r="U39" s="41">
        <f>VLOOKUP($A39,MasterTable[],U$103,FALSE)</f>
        <v>455</v>
      </c>
      <c r="V39" s="66">
        <f>VLOOKUP($A39,MasterTable[],V$103,FALSE)</f>
        <v>1.2379604940958808E-2</v>
      </c>
      <c r="W39" s="64">
        <f>VLOOKUP($A39,MasterTable[],W$103,FALSE)</f>
        <v>278</v>
      </c>
      <c r="X39" s="64">
        <f>VLOOKUP($A39,MasterTable[],X$103,FALSE)</f>
        <v>-73</v>
      </c>
      <c r="Y39" s="64">
        <f>VLOOKUP($A39,MasterTable[],Y$103,FALSE)</f>
        <v>351</v>
      </c>
      <c r="Z39" s="41">
        <f>VLOOKUP($A39,MasterTable[],Z$103,FALSE)</f>
        <v>475</v>
      </c>
      <c r="AA39" s="66">
        <f>VLOOKUP($A39,MasterTable[],AA$103,FALSE)</f>
        <v>7.4465416692794887E-3</v>
      </c>
      <c r="AB39" s="41">
        <f>VLOOKUP($A39,MasterTable[],AB$103,FALSE)</f>
        <v>223</v>
      </c>
      <c r="AC39" s="66">
        <f>VLOOKUP($A39,MasterTable[],AC$103,FALSE)</f>
        <v>8.2488717910779025E-3</v>
      </c>
      <c r="AD39" s="41">
        <f>VLOOKUP($A39,MasterTable[],AD$103,FALSE)</f>
        <v>252</v>
      </c>
      <c r="AE39" s="66">
        <f>VLOOKUP($A39,MasterTable[],AE$103,FALSE)</f>
        <v>6.8563965826848776E-3</v>
      </c>
      <c r="AF39" s="41">
        <f>VLOOKUP($A39,MasterTable[],AF$103,FALSE)</f>
        <v>410</v>
      </c>
      <c r="AG39" s="66">
        <f>VLOOKUP($A39,MasterTable[],AG$103,FALSE)</f>
        <v>6.4275412303254533E-3</v>
      </c>
      <c r="AH39" s="41">
        <f>VLOOKUP($A39,MasterTable[],AH$103,FALSE)</f>
        <v>52</v>
      </c>
      <c r="AI39" s="66">
        <f>VLOOKUP($A39,MasterTable[],AI$103,FALSE)</f>
        <v>1.9235037360361027E-3</v>
      </c>
      <c r="AJ39" s="41">
        <f>VLOOKUP($A39,MasterTable[],AJ$103,FALSE)</f>
        <v>358</v>
      </c>
      <c r="AK39" s="66">
        <f>VLOOKUP($A39,MasterTable[],AK$103,FALSE)</f>
        <v>9.7404364150840729E-3</v>
      </c>
      <c r="AL39" s="41">
        <f>VLOOKUP($A39,MasterTable[],AL$103,FALSE)</f>
        <v>629</v>
      </c>
      <c r="AM39" s="66">
        <f>VLOOKUP($A39,MasterTable[],AM$103,FALSE)</f>
        <v>9.8607888631090483E-3</v>
      </c>
      <c r="AN39" s="41">
        <f>VLOOKUP($A39,MasterTable[],AN$103,FALSE)</f>
        <v>108</v>
      </c>
      <c r="AO39" s="66">
        <f>VLOOKUP($A39,MasterTable[],AO$103,FALSE)</f>
        <v>3.9949692979211367E-3</v>
      </c>
      <c r="AP39" s="41">
        <f>VLOOKUP($A39,MasterTable[],AP$103,FALSE)</f>
        <v>521</v>
      </c>
      <c r="AQ39" s="66">
        <f>VLOOKUP($A39,MasterTable[],AQ$103,FALSE)</f>
        <v>1.4175327855471513E-2</v>
      </c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</row>
    <row r="40" spans="1:61" s="84" customFormat="1" ht="20.149999999999999" customHeight="1" x14ac:dyDescent="0.35">
      <c r="A40" s="67" t="s">
        <v>49</v>
      </c>
      <c r="B40" s="38">
        <f>VLOOKUP($A40,MasterTable[],B$103,FALSE)</f>
        <v>63788</v>
      </c>
      <c r="C40" s="65">
        <f>VLOOKUP($A40,MasterTable[],C$103,FALSE)</f>
        <v>28103</v>
      </c>
      <c r="D40" s="65">
        <f>VLOOKUP($A40,MasterTable[],D$103,FALSE)</f>
        <v>35685</v>
      </c>
      <c r="E40" s="38">
        <f>VLOOKUP($A40,MasterTable[],E$103,FALSE)</f>
        <v>27034</v>
      </c>
      <c r="F40" s="65">
        <f>VLOOKUP($A40,MasterTable[],F$103,FALSE)</f>
        <v>15163</v>
      </c>
      <c r="G40" s="65">
        <f>VLOOKUP($A40,MasterTable[],G$103,FALSE)</f>
        <v>11871</v>
      </c>
      <c r="H40" s="38">
        <f>VLOOKUP($A40,MasterTable[],H$103,FALSE)</f>
        <v>36754</v>
      </c>
      <c r="I40" s="65">
        <f>VLOOKUP($A40,MasterTable[],I$103,FALSE)</f>
        <v>12940</v>
      </c>
      <c r="J40" s="65">
        <f>VLOOKUP($A40,MasterTable[],J$103,FALSE)</f>
        <v>23814</v>
      </c>
      <c r="K40" s="41">
        <f>VLOOKUP($A40,MasterTable[],K$103,FALSE)</f>
        <v>1247</v>
      </c>
      <c r="L40" s="66">
        <f>VLOOKUP($A40,MasterTable[],L$103,FALSE)</f>
        <v>1.9616788321167884E-2</v>
      </c>
      <c r="M40" s="41">
        <f>VLOOKUP($A40,MasterTable[],M$103,FALSE)</f>
        <v>551</v>
      </c>
      <c r="N40" s="66">
        <f>VLOOKUP($A40,MasterTable[],N$103,FALSE)</f>
        <v>2.0467293191189034E-2</v>
      </c>
      <c r="O40" s="41">
        <f>VLOOKUP($A40,MasterTable[],O$103,FALSE)</f>
        <v>696</v>
      </c>
      <c r="P40" s="66">
        <f>VLOOKUP($A40,MasterTable[],P$103,FALSE)</f>
        <v>1.8992004802575926E-2</v>
      </c>
      <c r="Q40" s="41">
        <f>VLOOKUP($A40,MasterTable[],Q$103,FALSE)</f>
        <v>1018</v>
      </c>
      <c r="R40" s="66">
        <f>VLOOKUP($A40,MasterTable[],R$103,FALSE)</f>
        <v>1.6014346841177952E-2</v>
      </c>
      <c r="S40" s="41">
        <f>VLOOKUP($A40,MasterTable[],S$103,FALSE)</f>
        <v>521</v>
      </c>
      <c r="T40" s="66">
        <f>VLOOKUP($A40,MasterTable[],T$103,FALSE)</f>
        <v>1.9352921511087997E-2</v>
      </c>
      <c r="U40" s="41">
        <f>VLOOKUP($A40,MasterTable[],U$103,FALSE)</f>
        <v>497</v>
      </c>
      <c r="V40" s="66">
        <f>VLOOKUP($A40,MasterTable[],V$103,FALSE)</f>
        <v>1.3561819521379649E-2</v>
      </c>
      <c r="W40" s="64">
        <f>VLOOKUP($A40,MasterTable[],W$103,FALSE)</f>
        <v>229</v>
      </c>
      <c r="X40" s="64">
        <f>VLOOKUP($A40,MasterTable[],X$103,FALSE)</f>
        <v>30</v>
      </c>
      <c r="Y40" s="64">
        <f>VLOOKUP($A40,MasterTable[],Y$103,FALSE)</f>
        <v>199</v>
      </c>
      <c r="Z40" s="41">
        <f>VLOOKUP($A40,MasterTable[],Z$103,FALSE)</f>
        <v>523</v>
      </c>
      <c r="AA40" s="66">
        <f>VLOOKUP($A40,MasterTable[],AA$103,FALSE)</f>
        <v>8.2274100176189281E-3</v>
      </c>
      <c r="AB40" s="41">
        <f>VLOOKUP($A40,MasterTable[],AB$103,FALSE)</f>
        <v>254</v>
      </c>
      <c r="AC40" s="66">
        <f>VLOOKUP($A40,MasterTable[],AC$103,FALSE)</f>
        <v>9.4350135581887738E-3</v>
      </c>
      <c r="AD40" s="41">
        <f>VLOOKUP($A40,MasterTable[],AD$103,FALSE)</f>
        <v>269</v>
      </c>
      <c r="AE40" s="66">
        <f>VLOOKUP($A40,MasterTable[],AE$103,FALSE)</f>
        <v>7.3403007067427079E-3</v>
      </c>
      <c r="AF40" s="41">
        <f>VLOOKUP($A40,MasterTable[],AF$103,FALSE)</f>
        <v>485</v>
      </c>
      <c r="AG40" s="66">
        <f>VLOOKUP($A40,MasterTable[],AG$103,FALSE)</f>
        <v>7.6296249685376292E-3</v>
      </c>
      <c r="AH40" s="41">
        <f>VLOOKUP($A40,MasterTable[],AH$103,FALSE)</f>
        <v>69</v>
      </c>
      <c r="AI40" s="66">
        <f>VLOOKUP($A40,MasterTable[],AI$103,FALSE)</f>
        <v>2.5630548642323835E-3</v>
      </c>
      <c r="AJ40" s="41">
        <f>VLOOKUP($A40,MasterTable[],AJ$103,FALSE)</f>
        <v>416</v>
      </c>
      <c r="AK40" s="66">
        <f>VLOOKUP($A40,MasterTable[],AK$103,FALSE)</f>
        <v>1.1351543100390209E-2</v>
      </c>
      <c r="AL40" s="41">
        <f>VLOOKUP($A40,MasterTable[],AL$103,FALSE)</f>
        <v>662</v>
      </c>
      <c r="AM40" s="66">
        <f>VLOOKUP($A40,MasterTable[],AM$103,FALSE)</f>
        <v>1.041404480241631E-2</v>
      </c>
      <c r="AN40" s="41">
        <f>VLOOKUP($A40,MasterTable[],AN$103,FALSE)</f>
        <v>89</v>
      </c>
      <c r="AO40" s="66">
        <f>VLOOKUP($A40,MasterTable[],AO$103,FALSE)</f>
        <v>3.3059693176330745E-3</v>
      </c>
      <c r="AP40" s="41">
        <f>VLOOKUP($A40,MasterTable[],AP$103,FALSE)</f>
        <v>573</v>
      </c>
      <c r="AQ40" s="66">
        <f>VLOOKUP($A40,MasterTable[],AQ$103,FALSE)</f>
        <v>1.5635659126258628E-2</v>
      </c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</row>
    <row r="41" spans="1:61" s="84" customFormat="1" ht="20.149999999999999" customHeight="1" x14ac:dyDescent="0.35">
      <c r="A41" s="67" t="s">
        <v>48</v>
      </c>
      <c r="B41" s="38">
        <f>VLOOKUP($A41,MasterTable[],B$103,FALSE)</f>
        <v>63568</v>
      </c>
      <c r="C41" s="65">
        <f>VLOOKUP($A41,MasterTable[],C$103,FALSE)</f>
        <v>28068</v>
      </c>
      <c r="D41" s="65">
        <f>VLOOKUP($A41,MasterTable[],D$103,FALSE)</f>
        <v>35500</v>
      </c>
      <c r="E41" s="38">
        <f>VLOOKUP($A41,MasterTable[],E$103,FALSE)</f>
        <v>26921</v>
      </c>
      <c r="F41" s="65">
        <f>VLOOKUP($A41,MasterTable[],F$103,FALSE)</f>
        <v>15119</v>
      </c>
      <c r="G41" s="65">
        <f>VLOOKUP($A41,MasterTable[],G$103,FALSE)</f>
        <v>11802</v>
      </c>
      <c r="H41" s="38">
        <f>VLOOKUP($A41,MasterTable[],H$103,FALSE)</f>
        <v>36647</v>
      </c>
      <c r="I41" s="65">
        <f>VLOOKUP($A41,MasterTable[],I$103,FALSE)</f>
        <v>12949</v>
      </c>
      <c r="J41" s="65">
        <f>VLOOKUP($A41,MasterTable[],J$103,FALSE)</f>
        <v>23698</v>
      </c>
      <c r="K41" s="41">
        <f>VLOOKUP($A41,MasterTable[],K$103,FALSE)</f>
        <v>875</v>
      </c>
      <c r="L41" s="66">
        <f>VLOOKUP($A41,MasterTable[],L$103,FALSE)</f>
        <v>1.3675935043215955E-2</v>
      </c>
      <c r="M41" s="41">
        <f>VLOOKUP($A41,MasterTable[],M$103,FALSE)</f>
        <v>397</v>
      </c>
      <c r="N41" s="66">
        <f>VLOOKUP($A41,MasterTable[],N$103,FALSE)</f>
        <v>1.4626238809269426E-2</v>
      </c>
      <c r="O41" s="41">
        <f>VLOOKUP($A41,MasterTable[],O$103,FALSE)</f>
        <v>478</v>
      </c>
      <c r="P41" s="66">
        <f>VLOOKUP($A41,MasterTable[],P$103,FALSE)</f>
        <v>1.2975731581519084E-2</v>
      </c>
      <c r="Q41" s="41">
        <f>VLOOKUP($A41,MasterTable[],Q$103,FALSE)</f>
        <v>1124</v>
      </c>
      <c r="R41" s="66">
        <f>VLOOKUP($A41,MasterTable[],R$103,FALSE)</f>
        <v>1.7567715415513982E-2</v>
      </c>
      <c r="S41" s="41">
        <f>VLOOKUP($A41,MasterTable[],S$103,FALSE)</f>
        <v>530</v>
      </c>
      <c r="T41" s="66">
        <f>VLOOKUP($A41,MasterTable[],T$103,FALSE)</f>
        <v>1.9526213019931474E-2</v>
      </c>
      <c r="U41" s="41">
        <f>VLOOKUP($A41,MasterTable[],U$103,FALSE)</f>
        <v>594</v>
      </c>
      <c r="V41" s="66">
        <f>VLOOKUP($A41,MasterTable[],V$103,FALSE)</f>
        <v>1.6124653890004885E-2</v>
      </c>
      <c r="W41" s="64">
        <f>VLOOKUP($A41,MasterTable[],W$103,FALSE)</f>
        <v>-249</v>
      </c>
      <c r="X41" s="64">
        <f>VLOOKUP($A41,MasterTable[],X$103,FALSE)</f>
        <v>-133</v>
      </c>
      <c r="Y41" s="64">
        <f>VLOOKUP($A41,MasterTable[],Y$103,FALSE)</f>
        <v>-116</v>
      </c>
      <c r="Z41" s="41">
        <f>VLOOKUP($A41,MasterTable[],Z$103,FALSE)</f>
        <v>729</v>
      </c>
      <c r="AA41" s="66">
        <f>VLOOKUP($A41,MasterTable[],AA$103,FALSE)</f>
        <v>1.1394007596005064E-2</v>
      </c>
      <c r="AB41" s="41">
        <f>VLOOKUP($A41,MasterTable[],AB$103,FALSE)</f>
        <v>322</v>
      </c>
      <c r="AC41" s="66">
        <f>VLOOKUP($A41,MasterTable[],AC$103,FALSE)</f>
        <v>1.1863095457392329E-2</v>
      </c>
      <c r="AD41" s="41">
        <f>VLOOKUP($A41,MasterTable[],AD$103,FALSE)</f>
        <v>407</v>
      </c>
      <c r="AE41" s="66">
        <f>VLOOKUP($A41,MasterTable[],AE$103,FALSE)</f>
        <v>1.1048373961670015E-2</v>
      </c>
      <c r="AF41" s="41">
        <f>VLOOKUP($A41,MasterTable[],AF$103,FALSE)</f>
        <v>402</v>
      </c>
      <c r="AG41" s="66">
        <f>VLOOKUP($A41,MasterTable[],AG$103,FALSE)</f>
        <v>6.2831152998546443E-3</v>
      </c>
      <c r="AH41" s="41">
        <f>VLOOKUP($A41,MasterTable[],AH$103,FALSE)</f>
        <v>84</v>
      </c>
      <c r="AI41" s="66">
        <f>VLOOKUP($A41,MasterTable[],AI$103,FALSE)</f>
        <v>3.0947205541023469E-3</v>
      </c>
      <c r="AJ41" s="41">
        <f>VLOOKUP($A41,MasterTable[],AJ$103,FALSE)</f>
        <v>318</v>
      </c>
      <c r="AK41" s="66">
        <f>VLOOKUP($A41,MasterTable[],AK$103,FALSE)</f>
        <v>8.6323904663662514E-3</v>
      </c>
      <c r="AL41" s="41">
        <f>VLOOKUP($A41,MasterTable[],AL$103,FALSE)</f>
        <v>507</v>
      </c>
      <c r="AM41" s="66">
        <f>VLOOKUP($A41,MasterTable[],AM$103,FALSE)</f>
        <v>7.9242275050405587E-3</v>
      </c>
      <c r="AN41" s="41">
        <f>VLOOKUP($A41,MasterTable[],AN$103,FALSE)</f>
        <v>73</v>
      </c>
      <c r="AO41" s="66">
        <f>VLOOKUP($A41,MasterTable[],AO$103,FALSE)</f>
        <v>2.689459529160373E-3</v>
      </c>
      <c r="AP41" s="41">
        <f>VLOOKUP($A41,MasterTable[],AP$103,FALSE)</f>
        <v>434</v>
      </c>
      <c r="AQ41" s="66">
        <f>VLOOKUP($A41,MasterTable[],AQ$103,FALSE)</f>
        <v>1.1781312774852054E-2</v>
      </c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</row>
    <row r="42" spans="1:61" s="84" customFormat="1" ht="20.149999999999999" customHeight="1" x14ac:dyDescent="0.35">
      <c r="A42" s="81" t="s">
        <v>47</v>
      </c>
      <c r="B42" s="38">
        <f>VLOOKUP($A42,MasterTable[],B$103,FALSE)</f>
        <v>63981</v>
      </c>
      <c r="C42" s="65">
        <f>VLOOKUP($A42,MasterTable[],C$103,FALSE)</f>
        <v>28323</v>
      </c>
      <c r="D42" s="65">
        <f>VLOOKUP($A42,MasterTable[],D$103,FALSE)</f>
        <v>35658</v>
      </c>
      <c r="E42" s="38">
        <f>VLOOKUP($A42,MasterTable[],E$103,FALSE)</f>
        <v>27143</v>
      </c>
      <c r="F42" s="65">
        <f>VLOOKUP($A42,MasterTable[],F$103,FALSE)</f>
        <v>15233</v>
      </c>
      <c r="G42" s="65">
        <f>VLOOKUP($A42,MasterTable[],G$103,FALSE)</f>
        <v>11910</v>
      </c>
      <c r="H42" s="38">
        <f>VLOOKUP($A42,MasterTable[],H$103,FALSE)</f>
        <v>36838</v>
      </c>
      <c r="I42" s="65">
        <f>VLOOKUP($A42,MasterTable[],I$103,FALSE)</f>
        <v>13090</v>
      </c>
      <c r="J42" s="65">
        <f>VLOOKUP($A42,MasterTable[],J$103,FALSE)</f>
        <v>23748</v>
      </c>
      <c r="K42" s="41">
        <f>VLOOKUP($A42,MasterTable[],K$103,FALSE)</f>
        <v>995</v>
      </c>
      <c r="L42" s="66">
        <f>VLOOKUP($A42,MasterTable[],L$103,FALSE)</f>
        <v>1.5535951284253259E-2</v>
      </c>
      <c r="M42" s="41">
        <f>VLOOKUP($A42,MasterTable[],M$103,FALSE)</f>
        <v>479</v>
      </c>
      <c r="N42" s="66">
        <f>VLOOKUP($A42,MasterTable[],N$103,FALSE)</f>
        <v>1.7632334535816831E-2</v>
      </c>
      <c r="O42" s="41">
        <f>VLOOKUP($A42,MasterTable[],O$103,FALSE)</f>
        <v>516</v>
      </c>
      <c r="P42" s="66">
        <f>VLOOKUP($A42,MasterTable[],P$103,FALSE)</f>
        <v>1.3991702594972748E-2</v>
      </c>
      <c r="Q42" s="41">
        <f>VLOOKUP($A42,MasterTable[],Q$103,FALSE)</f>
        <v>1023</v>
      </c>
      <c r="R42" s="66">
        <f>VLOOKUP($A42,MasterTable[],R$103,FALSE)</f>
        <v>1.5973143883207121E-2</v>
      </c>
      <c r="S42" s="41">
        <f>VLOOKUP($A42,MasterTable[],S$103,FALSE)</f>
        <v>527</v>
      </c>
      <c r="T42" s="66">
        <f>VLOOKUP($A42,MasterTable[],T$103,FALSE)</f>
        <v>1.9399249061326659E-2</v>
      </c>
      <c r="U42" s="41">
        <f>VLOOKUP($A42,MasterTable[],U$103,FALSE)</f>
        <v>496</v>
      </c>
      <c r="V42" s="66">
        <f>VLOOKUP($A42,MasterTable[],V$103,FALSE)</f>
        <v>1.3449388540904038E-2</v>
      </c>
      <c r="W42" s="64">
        <f>VLOOKUP($A42,MasterTable[],W$103,FALSE)</f>
        <v>-28</v>
      </c>
      <c r="X42" s="64">
        <f>VLOOKUP($A42,MasterTable[],X$103,FALSE)</f>
        <v>-48</v>
      </c>
      <c r="Y42" s="64">
        <f>VLOOKUP($A42,MasterTable[],Y$103,FALSE)</f>
        <v>20</v>
      </c>
      <c r="Z42" s="41">
        <f>VLOOKUP($A42,MasterTable[],Z$103,FALSE)</f>
        <v>644</v>
      </c>
      <c r="AA42" s="66">
        <f>VLOOKUP($A42,MasterTable[],AA$103,FALSE)</f>
        <v>1.0055429775938794E-2</v>
      </c>
      <c r="AB42" s="41">
        <f>VLOOKUP($A42,MasterTable[],AB$103,FALSE)</f>
        <v>341</v>
      </c>
      <c r="AC42" s="66">
        <f>VLOOKUP($A42,MasterTable[],AC$103,FALSE)</f>
        <v>1.2552455274976074E-2</v>
      </c>
      <c r="AD42" s="41">
        <f>VLOOKUP($A42,MasterTable[],AD$103,FALSE)</f>
        <v>303</v>
      </c>
      <c r="AE42" s="66">
        <f>VLOOKUP($A42,MasterTable[],AE$103,FALSE)</f>
        <v>8.216057919140974E-3</v>
      </c>
      <c r="AF42" s="41">
        <f>VLOOKUP($A42,MasterTable[],AF$103,FALSE)</f>
        <v>387</v>
      </c>
      <c r="AG42" s="66">
        <f>VLOOKUP($A42,MasterTable[],AG$103,FALSE)</f>
        <v>6.0426262783980014E-3</v>
      </c>
      <c r="AH42" s="41">
        <f>VLOOKUP($A42,MasterTable[],AH$103,FALSE)</f>
        <v>70</v>
      </c>
      <c r="AI42" s="66">
        <f>VLOOKUP($A42,MasterTable[],AI$103,FALSE)</f>
        <v>2.5767503497018331E-3</v>
      </c>
      <c r="AJ42" s="41">
        <f>VLOOKUP($A42,MasterTable[],AJ$103,FALSE)</f>
        <v>317</v>
      </c>
      <c r="AK42" s="66">
        <f>VLOOKUP($A42,MasterTable[],AK$103,FALSE)</f>
        <v>8.5956777569890716E-3</v>
      </c>
      <c r="AL42" s="41">
        <f>VLOOKUP($A42,MasterTable[],AL$103,FALSE)</f>
        <v>563</v>
      </c>
      <c r="AM42" s="66">
        <f>VLOOKUP($A42,MasterTable[],AM$103,FALSE)</f>
        <v>8.7906940432508386E-3</v>
      </c>
      <c r="AN42" s="41">
        <f>VLOOKUP($A42,MasterTable[],AN$103,FALSE)</f>
        <v>95</v>
      </c>
      <c r="AO42" s="66">
        <f>VLOOKUP($A42,MasterTable[],AO$103,FALSE)</f>
        <v>3.4970183317382022E-3</v>
      </c>
      <c r="AP42" s="41">
        <f>VLOOKUP($A42,MasterTable[],AP$103,FALSE)</f>
        <v>468</v>
      </c>
      <c r="AQ42" s="66">
        <f>VLOOKUP($A42,MasterTable[],AQ$103,FALSE)</f>
        <v>1.2690148865207841E-2</v>
      </c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</row>
    <row r="43" spans="1:61" s="84" customFormat="1" ht="20.149999999999999" customHeight="1" x14ac:dyDescent="0.35">
      <c r="A43" s="67" t="s">
        <v>46</v>
      </c>
      <c r="B43" s="38">
        <f>VLOOKUP($A43,MasterTable[],B$103,FALSE)</f>
        <v>64045</v>
      </c>
      <c r="C43" s="65">
        <f>VLOOKUP($A43,MasterTable[],C$103,FALSE)</f>
        <v>28336</v>
      </c>
      <c r="D43" s="65">
        <f>VLOOKUP($A43,MasterTable[],D$103,FALSE)</f>
        <v>35709</v>
      </c>
      <c r="E43" s="38">
        <f>VLOOKUP($A43,MasterTable[],E$103,FALSE)</f>
        <v>27166</v>
      </c>
      <c r="F43" s="65">
        <f>VLOOKUP($A43,MasterTable[],F$103,FALSE)</f>
        <v>15263</v>
      </c>
      <c r="G43" s="65">
        <f>VLOOKUP($A43,MasterTable[],G$103,FALSE)</f>
        <v>11903</v>
      </c>
      <c r="H43" s="38">
        <f>VLOOKUP($A43,MasterTable[],H$103,FALSE)</f>
        <v>36879</v>
      </c>
      <c r="I43" s="65">
        <f>VLOOKUP($A43,MasterTable[],I$103,FALSE)</f>
        <v>13073</v>
      </c>
      <c r="J43" s="65">
        <f>VLOOKUP($A43,MasterTable[],J$103,FALSE)</f>
        <v>23806</v>
      </c>
      <c r="K43" s="41">
        <f>VLOOKUP($A43,MasterTable[],K$103,FALSE)</f>
        <v>1096</v>
      </c>
      <c r="L43" s="66">
        <f>VLOOKUP($A43,MasterTable[],L$103,FALSE)</f>
        <v>1.7185417483339866E-2</v>
      </c>
      <c r="M43" s="41">
        <f>VLOOKUP($A43,MasterTable[],M$103,FALSE)</f>
        <v>398</v>
      </c>
      <c r="N43" s="66">
        <f>VLOOKUP($A43,MasterTable[],N$103,FALSE)</f>
        <v>1.4615695347214571E-2</v>
      </c>
      <c r="O43" s="41">
        <f>VLOOKUP($A43,MasterTable[],O$103,FALSE)</f>
        <v>698</v>
      </c>
      <c r="P43" s="66">
        <f>VLOOKUP($A43,MasterTable[],P$103,FALSE)</f>
        <v>1.9100262697022766E-2</v>
      </c>
      <c r="Q43" s="41">
        <f>VLOOKUP($A43,MasterTable[],Q$103,FALSE)</f>
        <v>1070</v>
      </c>
      <c r="R43" s="66">
        <f>VLOOKUP($A43,MasterTable[],R$103,FALSE)</f>
        <v>1.6777734221873775E-2</v>
      </c>
      <c r="S43" s="41">
        <f>VLOOKUP($A43,MasterTable[],S$103,FALSE)</f>
        <v>614</v>
      </c>
      <c r="T43" s="66">
        <f>VLOOKUP($A43,MasterTable[],T$103,FALSE)</f>
        <v>2.254783151555213E-2</v>
      </c>
      <c r="U43" s="41">
        <f>VLOOKUP($A43,MasterTable[],U$103,FALSE)</f>
        <v>456</v>
      </c>
      <c r="V43" s="66">
        <f>VLOOKUP($A43,MasterTable[],V$103,FALSE)</f>
        <v>1.2478108581436076E-2</v>
      </c>
      <c r="W43" s="64">
        <f>VLOOKUP($A43,MasterTable[],W$103,FALSE)</f>
        <v>26</v>
      </c>
      <c r="X43" s="64">
        <f>VLOOKUP($A43,MasterTable[],X$103,FALSE)</f>
        <v>-216</v>
      </c>
      <c r="Y43" s="64">
        <f>VLOOKUP($A43,MasterTable[],Y$103,FALSE)</f>
        <v>242</v>
      </c>
      <c r="Z43" s="41">
        <f>VLOOKUP($A43,MasterTable[],Z$103,FALSE)</f>
        <v>572</v>
      </c>
      <c r="AA43" s="66">
        <f>VLOOKUP($A43,MasterTable[],AA$103,FALSE)</f>
        <v>8.9690317522540183E-3</v>
      </c>
      <c r="AB43" s="41">
        <f>VLOOKUP($A43,MasterTable[],AB$103,FALSE)</f>
        <v>322</v>
      </c>
      <c r="AC43" s="66">
        <f>VLOOKUP($A43,MasterTable[],AC$103,FALSE)</f>
        <v>1.1824758547243949E-2</v>
      </c>
      <c r="AD43" s="41">
        <f>VLOOKUP($A43,MasterTable[],AD$103,FALSE)</f>
        <v>250</v>
      </c>
      <c r="AE43" s="66">
        <f>VLOOKUP($A43,MasterTable[],AE$103,FALSE)</f>
        <v>6.8410683012259197E-3</v>
      </c>
      <c r="AF43" s="41">
        <f>VLOOKUP($A43,MasterTable[],AF$103,FALSE)</f>
        <v>320</v>
      </c>
      <c r="AG43" s="66">
        <f>VLOOKUP($A43,MasterTable[],AG$103,FALSE)</f>
        <v>5.017640141121129E-3</v>
      </c>
      <c r="AH43" s="41">
        <f>VLOOKUP($A43,MasterTable[],AH$103,FALSE)</f>
        <v>51</v>
      </c>
      <c r="AI43" s="66">
        <f>VLOOKUP($A43,MasterTable[],AI$103,FALSE)</f>
        <v>1.872865484190812E-3</v>
      </c>
      <c r="AJ43" s="41">
        <f>VLOOKUP($A43,MasterTable[],AJ$103,FALSE)</f>
        <v>269</v>
      </c>
      <c r="AK43" s="66">
        <f>VLOOKUP($A43,MasterTable[],AK$103,FALSE)</f>
        <v>7.3609894921190895E-3</v>
      </c>
      <c r="AL43" s="41">
        <f>VLOOKUP($A43,MasterTable[],AL$103,FALSE)</f>
        <v>484</v>
      </c>
      <c r="AM43" s="66">
        <f>VLOOKUP($A43,MasterTable[],AM$103,FALSE)</f>
        <v>7.589180713445708E-3</v>
      </c>
      <c r="AN43" s="41">
        <f>VLOOKUP($A43,MasterTable[],AN$103,FALSE)</f>
        <v>87</v>
      </c>
      <c r="AO43" s="66">
        <f>VLOOKUP($A43,MasterTable[],AO$103,FALSE)</f>
        <v>3.1948881789137379E-3</v>
      </c>
      <c r="AP43" s="41">
        <f>VLOOKUP($A43,MasterTable[],AP$103,FALSE)</f>
        <v>397</v>
      </c>
      <c r="AQ43" s="66">
        <f>VLOOKUP($A43,MasterTable[],AQ$103,FALSE)</f>
        <v>1.0863616462346759E-2</v>
      </c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</row>
    <row r="44" spans="1:61" s="84" customFormat="1" ht="20.149999999999999" customHeight="1" x14ac:dyDescent="0.35">
      <c r="A44" s="82" t="s">
        <v>45</v>
      </c>
      <c r="B44" s="38">
        <f>VLOOKUP($A44,MasterTable[],B$103,FALSE)</f>
        <v>63775</v>
      </c>
      <c r="C44" s="65">
        <f>VLOOKUP($A44,MasterTable[],C$103,FALSE)</f>
        <v>28264</v>
      </c>
      <c r="D44" s="65">
        <f>VLOOKUP($A44,MasterTable[],D$103,FALSE)</f>
        <v>35511</v>
      </c>
      <c r="E44" s="38">
        <f>VLOOKUP($A44,MasterTable[],E$103,FALSE)</f>
        <v>27231</v>
      </c>
      <c r="F44" s="65">
        <f>VLOOKUP($A44,MasterTable[],F$103,FALSE)</f>
        <v>15309</v>
      </c>
      <c r="G44" s="65">
        <f>VLOOKUP($A44,MasterTable[],G$103,FALSE)</f>
        <v>11922</v>
      </c>
      <c r="H44" s="38">
        <f>VLOOKUP($A44,MasterTable[],H$103,FALSE)</f>
        <v>36544</v>
      </c>
      <c r="I44" s="65">
        <f>VLOOKUP($A44,MasterTable[],I$103,FALSE)</f>
        <v>12955</v>
      </c>
      <c r="J44" s="65">
        <f>VLOOKUP($A44,MasterTable[],J$103,FALSE)</f>
        <v>23589</v>
      </c>
      <c r="K44" s="41">
        <f>VLOOKUP($A44,MasterTable[],K$103,FALSE)</f>
        <v>781</v>
      </c>
      <c r="L44" s="66">
        <f>VLOOKUP($A44,MasterTable[],L$103,FALSE)</f>
        <v>1.2132604237867396E-2</v>
      </c>
      <c r="M44" s="41">
        <f>VLOOKUP($A44,MasterTable[],M$103,FALSE)</f>
        <v>318</v>
      </c>
      <c r="N44" s="66">
        <f>VLOOKUP($A44,MasterTable[],N$103,FALSE)</f>
        <v>1.1488854366125944E-2</v>
      </c>
      <c r="O44" s="41">
        <f>VLOOKUP($A44,MasterTable[],O$103,FALSE)</f>
        <v>463</v>
      </c>
      <c r="P44" s="66">
        <f>VLOOKUP($A44,MasterTable[],P$103,FALSE)</f>
        <v>1.2618210557872074E-2</v>
      </c>
      <c r="Q44" s="41">
        <f>VLOOKUP($A44,MasterTable[],Q$103,FALSE)</f>
        <v>1286</v>
      </c>
      <c r="R44" s="66">
        <f>VLOOKUP($A44,MasterTable[],R$103,FALSE)</f>
        <v>1.9977630025476915E-2</v>
      </c>
      <c r="S44" s="41">
        <f>VLOOKUP($A44,MasterTable[],S$103,FALSE)</f>
        <v>731</v>
      </c>
      <c r="T44" s="66">
        <f>VLOOKUP($A44,MasterTable[],T$103,FALSE)</f>
        <v>2.6409913652949889E-2</v>
      </c>
      <c r="U44" s="41">
        <f>VLOOKUP($A44,MasterTable[],U$103,FALSE)</f>
        <v>555</v>
      </c>
      <c r="V44" s="66">
        <f>VLOOKUP($A44,MasterTable[],V$103,FALSE)</f>
        <v>1.5125500776714904E-2</v>
      </c>
      <c r="W44" s="64">
        <f>VLOOKUP($A44,MasterTable[],W$103,FALSE)</f>
        <v>-505</v>
      </c>
      <c r="X44" s="64">
        <f>VLOOKUP($A44,MasterTable[],X$103,FALSE)</f>
        <v>-413</v>
      </c>
      <c r="Y44" s="64">
        <f>VLOOKUP($A44,MasterTable[],Y$103,FALSE)</f>
        <v>-92</v>
      </c>
      <c r="Z44" s="41">
        <f>VLOOKUP($A44,MasterTable[],Z$103,FALSE)</f>
        <v>668</v>
      </c>
      <c r="AA44" s="66">
        <f>VLOOKUP($A44,MasterTable[],AA$103,FALSE)</f>
        <v>1.0377182625986454E-2</v>
      </c>
      <c r="AB44" s="41">
        <f>VLOOKUP($A44,MasterTable[],AB$103,FALSE)</f>
        <v>306</v>
      </c>
      <c r="AC44" s="66">
        <f>VLOOKUP($A44,MasterTable[],AC$103,FALSE)</f>
        <v>1.1055312691932512E-2</v>
      </c>
      <c r="AD44" s="41">
        <f>VLOOKUP($A44,MasterTable[],AD$103,FALSE)</f>
        <v>362</v>
      </c>
      <c r="AE44" s="66">
        <f>VLOOKUP($A44,MasterTable[],AE$103,FALSE)</f>
        <v>9.8656419480554879E-3</v>
      </c>
      <c r="AF44" s="41">
        <f>VLOOKUP($A44,MasterTable[],AF$103,FALSE)</f>
        <v>324</v>
      </c>
      <c r="AG44" s="66">
        <f>VLOOKUP($A44,MasterTable[],AG$103,FALSE)</f>
        <v>5.0332442676940285E-3</v>
      </c>
      <c r="AH44" s="41">
        <f>VLOOKUP($A44,MasterTable[],AH$103,FALSE)</f>
        <v>42</v>
      </c>
      <c r="AI44" s="66">
        <f>VLOOKUP($A44,MasterTable[],AI$103,FALSE)</f>
        <v>1.5173958596770114E-3</v>
      </c>
      <c r="AJ44" s="41">
        <f>VLOOKUP($A44,MasterTable[],AJ$103,FALSE)</f>
        <v>282</v>
      </c>
      <c r="AK44" s="66">
        <f>VLOOKUP($A44,MasterTable[],AK$103,FALSE)</f>
        <v>7.6853895838443296E-3</v>
      </c>
      <c r="AL44" s="41">
        <f>VLOOKUP($A44,MasterTable[],AL$103,FALSE)</f>
        <v>518</v>
      </c>
      <c r="AM44" s="66">
        <f>VLOOKUP($A44,MasterTable[],AM$103,FALSE)</f>
        <v>8.0469769464984776E-3</v>
      </c>
      <c r="AN44" s="41">
        <f>VLOOKUP($A44,MasterTable[],AN$103,FALSE)</f>
        <v>77</v>
      </c>
      <c r="AO44" s="66">
        <f>VLOOKUP($A44,MasterTable[],AO$103,FALSE)</f>
        <v>2.7818924094078542E-3</v>
      </c>
      <c r="AP44" s="41">
        <f>VLOOKUP($A44,MasterTable[],AP$103,FALSE)</f>
        <v>441</v>
      </c>
      <c r="AQ44" s="66">
        <f>VLOOKUP($A44,MasterTable[],AQ$103,FALSE)</f>
        <v>1.2018641157714005E-2</v>
      </c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</row>
    <row r="45" spans="1:61" s="84" customFormat="1" ht="20.149999999999999" customHeight="1" x14ac:dyDescent="0.35">
      <c r="A45" s="82" t="s">
        <v>44</v>
      </c>
      <c r="B45" s="38">
        <f>VLOOKUP($A45,MasterTable[],B$103,FALSE)</f>
        <v>64372</v>
      </c>
      <c r="C45" s="65">
        <f>VLOOKUP($A45,MasterTable[],C$103,FALSE)</f>
        <v>28703</v>
      </c>
      <c r="D45" s="65">
        <f>VLOOKUP($A45,MasterTable[],D$103,FALSE)</f>
        <v>35669</v>
      </c>
      <c r="E45" s="38">
        <f>VLOOKUP($A45,MasterTable[],E$103,FALSE)</f>
        <v>27679</v>
      </c>
      <c r="F45" s="65">
        <f>VLOOKUP($A45,MasterTable[],F$103,FALSE)</f>
        <v>15731</v>
      </c>
      <c r="G45" s="65">
        <f>VLOOKUP($A45,MasterTable[],G$103,FALSE)</f>
        <v>11948</v>
      </c>
      <c r="H45" s="38">
        <f>VLOOKUP($A45,MasterTable[],H$103,FALSE)</f>
        <v>36693</v>
      </c>
      <c r="I45" s="65">
        <f>VLOOKUP($A45,MasterTable[],I$103,FALSE)</f>
        <v>12972</v>
      </c>
      <c r="J45" s="65">
        <f>VLOOKUP($A45,MasterTable[],J$103,FALSE)</f>
        <v>23721</v>
      </c>
      <c r="K45" s="41">
        <f>VLOOKUP($A45,MasterTable[],K$103,FALSE)</f>
        <v>492</v>
      </c>
      <c r="L45" s="66">
        <f>VLOOKUP($A45,MasterTable[],L$103,FALSE)</f>
        <v>7.5361874856398866E-3</v>
      </c>
      <c r="M45" s="41">
        <f>VLOOKUP($A45,MasterTable[],M$103,FALSE)</f>
        <v>190</v>
      </c>
      <c r="N45" s="66">
        <f>VLOOKUP($A45,MasterTable[],N$103,FALSE)</f>
        <v>6.7282835794468645E-3</v>
      </c>
      <c r="O45" s="41">
        <f>VLOOKUP($A45,MasterTable[],O$103,FALSE)</f>
        <v>302</v>
      </c>
      <c r="P45" s="66">
        <f>VLOOKUP($A45,MasterTable[],P$103,FALSE)</f>
        <v>8.1520272094153211E-3</v>
      </c>
      <c r="Q45" s="41">
        <f>VLOOKUP($A45,MasterTable[],Q$103,FALSE)</f>
        <v>1372</v>
      </c>
      <c r="R45" s="66">
        <f>VLOOKUP($A45,MasterTable[],R$103,FALSE)</f>
        <v>2.1015547216052692E-2</v>
      </c>
      <c r="S45" s="41">
        <f>VLOOKUP($A45,MasterTable[],S$103,FALSE)</f>
        <v>704</v>
      </c>
      <c r="T45" s="66">
        <f>VLOOKUP($A45,MasterTable[],T$103,FALSE)</f>
        <v>2.4930061262792593E-2</v>
      </c>
      <c r="U45" s="41">
        <f>VLOOKUP($A45,MasterTable[],U$103,FALSE)</f>
        <v>668</v>
      </c>
      <c r="V45" s="66">
        <f>VLOOKUP($A45,MasterTable[],V$103,FALSE)</f>
        <v>1.8031636344004752E-2</v>
      </c>
      <c r="W45" s="64">
        <f>VLOOKUP($A45,MasterTable[],W$103,FALSE)</f>
        <v>-880</v>
      </c>
      <c r="X45" s="64">
        <f>VLOOKUP($A45,MasterTable[],X$103,FALSE)</f>
        <v>-514</v>
      </c>
      <c r="Y45" s="64">
        <f>VLOOKUP($A45,MasterTable[],Y$103,FALSE)</f>
        <v>-366</v>
      </c>
      <c r="Z45" s="41">
        <f>VLOOKUP($A45,MasterTable[],Z$103,FALSE)</f>
        <v>934</v>
      </c>
      <c r="AA45" s="66">
        <f>VLOOKUP($A45,MasterTable[],AA$103,FALSE)</f>
        <v>1.43065022593245E-2</v>
      </c>
      <c r="AB45" s="41">
        <f>VLOOKUP($A45,MasterTable[],AB$103,FALSE)</f>
        <v>438</v>
      </c>
      <c r="AC45" s="66">
        <f>VLOOKUP($A45,MasterTable[],AC$103,FALSE)</f>
        <v>1.5510464251566982E-2</v>
      </c>
      <c r="AD45" s="41">
        <f>VLOOKUP($A45,MasterTable[],AD$103,FALSE)</f>
        <v>496</v>
      </c>
      <c r="AE45" s="66">
        <f>VLOOKUP($A45,MasterTable[],AE$103,FALSE)</f>
        <v>1.3388759920099335E-2</v>
      </c>
      <c r="AF45" s="41">
        <f>VLOOKUP($A45,MasterTable[],AF$103,FALSE)</f>
        <v>255</v>
      </c>
      <c r="AG45" s="66">
        <f>VLOOKUP($A45,MasterTable[],AG$103,FALSE)</f>
        <v>3.9059508309718925E-3</v>
      </c>
      <c r="AH45" s="41">
        <f>VLOOKUP($A45,MasterTable[],AH$103,FALSE)</f>
        <v>24</v>
      </c>
      <c r="AI45" s="66">
        <f>VLOOKUP($A45,MasterTable[],AI$103,FALSE)</f>
        <v>8.4988845214065654E-4</v>
      </c>
      <c r="AJ45" s="41">
        <f>VLOOKUP($A45,MasterTable[],AJ$103,FALSE)</f>
        <v>231</v>
      </c>
      <c r="AK45" s="66">
        <f>VLOOKUP($A45,MasterTable[],AK$103,FALSE)</f>
        <v>6.2354910111752952E-3</v>
      </c>
      <c r="AL45" s="41">
        <f>VLOOKUP($A45,MasterTable[],AL$103,FALSE)</f>
        <v>441</v>
      </c>
      <c r="AM45" s="66">
        <f>VLOOKUP($A45,MasterTable[],AM$103,FALSE)</f>
        <v>6.7549973194455078E-3</v>
      </c>
      <c r="AN45" s="41">
        <f>VLOOKUP($A45,MasterTable[],AN$103,FALSE)</f>
        <v>51</v>
      </c>
      <c r="AO45" s="66">
        <f>VLOOKUP($A45,MasterTable[],AO$103,FALSE)</f>
        <v>1.8060129607988952E-3</v>
      </c>
      <c r="AP45" s="41">
        <f>VLOOKUP($A45,MasterTable[],AP$103,FALSE)</f>
        <v>390</v>
      </c>
      <c r="AQ45" s="66">
        <f>VLOOKUP($A45,MasterTable[],AQ$103,FALSE)</f>
        <v>1.052745235652972E-2</v>
      </c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</row>
    <row r="46" spans="1:61" s="84" customFormat="1" ht="20.149999999999999" customHeight="1" x14ac:dyDescent="0.35">
      <c r="A46" s="82" t="s">
        <v>43</v>
      </c>
      <c r="B46" s="38">
        <f>VLOOKUP($A46,MasterTable[],B$103,FALSE)</f>
        <v>65285</v>
      </c>
      <c r="C46" s="65">
        <f>VLOOKUP($A46,MasterTable[],C$103,FALSE)</f>
        <v>29076</v>
      </c>
      <c r="D46" s="65">
        <f>VLOOKUP($A46,MasterTable[],D$103,FALSE)</f>
        <v>36209</v>
      </c>
      <c r="E46" s="38">
        <f>VLOOKUP($A46,MasterTable[],E$103,FALSE)</f>
        <v>28239</v>
      </c>
      <c r="F46" s="65">
        <f>VLOOKUP($A46,MasterTable[],F$103,FALSE)</f>
        <v>16032</v>
      </c>
      <c r="G46" s="65">
        <f>VLOOKUP($A46,MasterTable[],G$103,FALSE)</f>
        <v>12207</v>
      </c>
      <c r="H46" s="38">
        <f>VLOOKUP($A46,MasterTable[],H$103,FALSE)</f>
        <v>37046</v>
      </c>
      <c r="I46" s="65">
        <f>VLOOKUP($A46,MasterTable[],I$103,FALSE)</f>
        <v>13044</v>
      </c>
      <c r="J46" s="65">
        <f>VLOOKUP($A46,MasterTable[],J$103,FALSE)</f>
        <v>24002</v>
      </c>
      <c r="K46" s="41">
        <f>VLOOKUP($A46,MasterTable[],K$103,FALSE)</f>
        <v>454</v>
      </c>
      <c r="L46" s="66">
        <f>VLOOKUP($A46,MasterTable[],L$103,FALSE)</f>
        <v>6.9041029228382855E-3</v>
      </c>
      <c r="M46" s="41">
        <f>VLOOKUP($A46,MasterTable[],M$103,FALSE)</f>
        <v>195</v>
      </c>
      <c r="N46" s="66">
        <f>VLOOKUP($A46,MasterTable[],N$103,FALSE)</f>
        <v>6.8065202973925792E-3</v>
      </c>
      <c r="O46" s="41">
        <f>VLOOKUP($A46,MasterTable[],O$103,FALSE)</f>
        <v>259</v>
      </c>
      <c r="P46" s="66">
        <f>VLOOKUP($A46,MasterTable[],P$103,FALSE)</f>
        <v>6.9794389501199169E-3</v>
      </c>
      <c r="Q46" s="41">
        <f>VLOOKUP($A46,MasterTable[],Q$103,FALSE)</f>
        <v>902</v>
      </c>
      <c r="R46" s="66">
        <f>VLOOKUP($A46,MasterTable[],R$103,FALSE)</f>
        <v>1.3716962194713951E-2</v>
      </c>
      <c r="S46" s="41">
        <f>VLOOKUP($A46,MasterTable[],S$103,FALSE)</f>
        <v>506</v>
      </c>
      <c r="T46" s="66">
        <f>VLOOKUP($A46,MasterTable[],T$103,FALSE)</f>
        <v>1.7662047540926384E-2</v>
      </c>
      <c r="U46" s="41">
        <f>VLOOKUP($A46,MasterTable[],U$103,FALSE)</f>
        <v>396</v>
      </c>
      <c r="V46" s="66">
        <f>VLOOKUP($A46,MasterTable[],V$103,FALSE)</f>
        <v>1.0671265730685279E-2</v>
      </c>
      <c r="W46" s="64">
        <f>VLOOKUP($A46,MasterTable[],W$103,FALSE)</f>
        <v>-448</v>
      </c>
      <c r="X46" s="64">
        <f>VLOOKUP($A46,MasterTable[],X$103,FALSE)</f>
        <v>-311</v>
      </c>
      <c r="Y46" s="64">
        <f>VLOOKUP($A46,MasterTable[],Y$103,FALSE)</f>
        <v>-137</v>
      </c>
      <c r="Z46" s="41">
        <f>VLOOKUP($A46,MasterTable[],Z$103,FALSE)</f>
        <v>464</v>
      </c>
      <c r="AA46" s="66">
        <f>VLOOKUP($A46,MasterTable[],AA$103,FALSE)</f>
        <v>7.0561756744426532E-3</v>
      </c>
      <c r="AB46" s="41">
        <f>VLOOKUP($A46,MasterTable[],AB$103,FALSE)</f>
        <v>245</v>
      </c>
      <c r="AC46" s="66">
        <f>VLOOKUP($A46,MasterTable[],AC$103,FALSE)</f>
        <v>8.5517819121086244E-3</v>
      </c>
      <c r="AD46" s="41">
        <f>VLOOKUP($A46,MasterTable[],AD$103,FALSE)</f>
        <v>219</v>
      </c>
      <c r="AE46" s="66">
        <f>VLOOKUP($A46,MasterTable[],AE$103,FALSE)</f>
        <v>5.901533320757768E-3</v>
      </c>
      <c r="AF46" s="41">
        <f>VLOOKUP($A46,MasterTable[],AF$103,FALSE)</f>
        <v>251</v>
      </c>
      <c r="AG46" s="66">
        <f>VLOOKUP($A46,MasterTable[],AG$103,FALSE)</f>
        <v>3.817026065269625E-3</v>
      </c>
      <c r="AH46" s="41">
        <f>VLOOKUP($A46,MasterTable[],AH$103,FALSE)</f>
        <v>47</v>
      </c>
      <c r="AI46" s="66">
        <f>VLOOKUP($A46,MasterTable[],AI$103,FALSE)</f>
        <v>1.6405459178330832E-3</v>
      </c>
      <c r="AJ46" s="41">
        <f>VLOOKUP($A46,MasterTable[],AJ$103,FALSE)</f>
        <v>204</v>
      </c>
      <c r="AK46" s="66">
        <f>VLOOKUP($A46,MasterTable[],AK$103,FALSE)</f>
        <v>5.4973187097469619E-3</v>
      </c>
      <c r="AL46" s="41">
        <f>VLOOKUP($A46,MasterTable[],AL$103,FALSE)</f>
        <v>333</v>
      </c>
      <c r="AM46" s="66">
        <f>VLOOKUP($A46,MasterTable[],AM$103,FALSE)</f>
        <v>5.0640226284254389E-3</v>
      </c>
      <c r="AN46" s="41">
        <f>VLOOKUP($A46,MasterTable[],AN$103,FALSE)</f>
        <v>68</v>
      </c>
      <c r="AO46" s="66">
        <f>VLOOKUP($A46,MasterTable[],AO$103,FALSE)</f>
        <v>2.3735557960138224E-3</v>
      </c>
      <c r="AP46" s="41">
        <f>VLOOKUP($A46,MasterTable[],AP$103,FALSE)</f>
        <v>265</v>
      </c>
      <c r="AQ46" s="66">
        <f>VLOOKUP($A46,MasterTable[],AQ$103,FALSE)</f>
        <v>7.1411247945242394E-3</v>
      </c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</row>
    <row r="47" spans="1:61" s="84" customFormat="1" ht="20.149999999999999" customHeight="1" x14ac:dyDescent="0.35">
      <c r="A47" s="82" t="s">
        <v>42</v>
      </c>
      <c r="B47" s="38">
        <f>VLOOKUP($A47,MasterTable[],B$103,FALSE)</f>
        <v>65758</v>
      </c>
      <c r="C47" s="65">
        <f>VLOOKUP($A47,MasterTable[],C$103,FALSE)</f>
        <v>29200</v>
      </c>
      <c r="D47" s="65">
        <f>VLOOKUP($A47,MasterTable[],D$103,FALSE)</f>
        <v>36558</v>
      </c>
      <c r="E47" s="38">
        <f>VLOOKUP($A47,MasterTable[],E$103,FALSE)</f>
        <v>28649</v>
      </c>
      <c r="F47" s="65">
        <f>VLOOKUP($A47,MasterTable[],F$103,FALSE)</f>
        <v>16213</v>
      </c>
      <c r="G47" s="65">
        <f>VLOOKUP($A47,MasterTable[],G$103,FALSE)</f>
        <v>12436</v>
      </c>
      <c r="H47" s="38">
        <f>VLOOKUP($A47,MasterTable[],H$103,FALSE)</f>
        <v>37109</v>
      </c>
      <c r="I47" s="65">
        <f>VLOOKUP($A47,MasterTable[],I$103,FALSE)</f>
        <v>12987</v>
      </c>
      <c r="J47" s="65">
        <f>VLOOKUP($A47,MasterTable[],J$103,FALSE)</f>
        <v>24122</v>
      </c>
      <c r="K47" s="41">
        <f>VLOOKUP($A47,MasterTable[],K$103,FALSE)</f>
        <v>686</v>
      </c>
      <c r="L47" s="66">
        <f>VLOOKUP($A47,MasterTable[],L$103,FALSE)</f>
        <v>1.039047590197207E-2</v>
      </c>
      <c r="M47" s="41">
        <f>VLOOKUP($A47,MasterTable[],M$103,FALSE)</f>
        <v>252</v>
      </c>
      <c r="N47" s="66">
        <f>VLOOKUP($A47,MasterTable[],N$103,FALSE)</f>
        <v>8.6708185665622956E-3</v>
      </c>
      <c r="O47" s="41">
        <f>VLOOKUP($A47,MasterTable[],O$103,FALSE)</f>
        <v>434</v>
      </c>
      <c r="P47" s="66">
        <f>VLOOKUP($A47,MasterTable[],P$103,FALSE)</f>
        <v>1.1742741957304039E-2</v>
      </c>
      <c r="Q47" s="41">
        <f>VLOOKUP($A47,MasterTable[],Q$103,FALSE)</f>
        <v>965</v>
      </c>
      <c r="R47" s="66">
        <f>VLOOKUP($A47,MasterTable[],R$103,FALSE)</f>
        <v>1.4616340007876162E-2</v>
      </c>
      <c r="S47" s="41">
        <f>VLOOKUP($A47,MasterTable[],S$103,FALSE)</f>
        <v>553</v>
      </c>
      <c r="T47" s="66">
        <f>VLOOKUP($A47,MasterTable[],T$103,FALSE)</f>
        <v>1.9027629632178369E-2</v>
      </c>
      <c r="U47" s="41">
        <f>VLOOKUP($A47,MasterTable[],U$103,FALSE)</f>
        <v>412</v>
      </c>
      <c r="V47" s="66">
        <f>VLOOKUP($A47,MasterTable[],V$103,FALSE)</f>
        <v>1.1147487756703375E-2</v>
      </c>
      <c r="W47" s="64">
        <f>VLOOKUP($A47,MasterTable[],W$103,FALSE)</f>
        <v>-279</v>
      </c>
      <c r="X47" s="64">
        <f>VLOOKUP($A47,MasterTable[],X$103,FALSE)</f>
        <v>-301</v>
      </c>
      <c r="Y47" s="64">
        <f>VLOOKUP($A47,MasterTable[],Y$103,FALSE)</f>
        <v>22</v>
      </c>
      <c r="Z47" s="41">
        <f>VLOOKUP($A47,MasterTable[],Z$103,FALSE)</f>
        <v>418</v>
      </c>
      <c r="AA47" s="66">
        <f>VLOOKUP($A47,MasterTable[],AA$103,FALSE)</f>
        <v>6.3312229256914359E-3</v>
      </c>
      <c r="AB47" s="41">
        <f>VLOOKUP($A47,MasterTable[],AB$103,FALSE)</f>
        <v>222</v>
      </c>
      <c r="AC47" s="66">
        <f>VLOOKUP($A47,MasterTable[],AC$103,FALSE)</f>
        <v>7.6385782610191655E-3</v>
      </c>
      <c r="AD47" s="41">
        <f>VLOOKUP($A47,MasterTable[],AD$103,FALSE)</f>
        <v>196</v>
      </c>
      <c r="AE47" s="66">
        <f>VLOOKUP($A47,MasterTable[],AE$103,FALSE)</f>
        <v>5.3031737871695661E-3</v>
      </c>
      <c r="AF47" s="41">
        <f>VLOOKUP($A47,MasterTable[],AF$103,FALSE)</f>
        <v>233</v>
      </c>
      <c r="AG47" s="66">
        <f>VLOOKUP($A47,MasterTable[],AG$103,FALSE)</f>
        <v>3.5291266547514467E-3</v>
      </c>
      <c r="AH47" s="41">
        <f>VLOOKUP($A47,MasterTable[],AH$103,FALSE)</f>
        <v>29</v>
      </c>
      <c r="AI47" s="66">
        <f>VLOOKUP($A47,MasterTable[],AI$103,FALSE)</f>
        <v>9.9783229535835944E-4</v>
      </c>
      <c r="AJ47" s="41">
        <f>VLOOKUP($A47,MasterTable[],AJ$103,FALSE)</f>
        <v>204</v>
      </c>
      <c r="AK47" s="66">
        <f>VLOOKUP($A47,MasterTable[],AK$103,FALSE)</f>
        <v>5.5196298601152627E-3</v>
      </c>
      <c r="AL47" s="41">
        <f>VLOOKUP($A47,MasterTable[],AL$103,FALSE)</f>
        <v>325</v>
      </c>
      <c r="AM47" s="66">
        <f>VLOOKUP($A47,MasterTable[],AM$103,FALSE)</f>
        <v>4.9226015570567388E-3</v>
      </c>
      <c r="AN47" s="41">
        <f>VLOOKUP($A47,MasterTable[],AN$103,FALSE)</f>
        <v>55</v>
      </c>
      <c r="AO47" s="66">
        <f>VLOOKUP($A47,MasterTable[],AO$103,FALSE)</f>
        <v>1.8924405601624058E-3</v>
      </c>
      <c r="AP47" s="41">
        <f>VLOOKUP($A47,MasterTable[],AP$103,FALSE)</f>
        <v>270</v>
      </c>
      <c r="AQ47" s="66">
        <f>VLOOKUP($A47,MasterTable[],AQ$103,FALSE)</f>
        <v>7.3053924619172596E-3</v>
      </c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</row>
    <row r="48" spans="1:61" s="84" customFormat="1" ht="20.149999999999999" customHeight="1" x14ac:dyDescent="0.35">
      <c r="A48" s="82" t="s">
        <v>41</v>
      </c>
      <c r="B48" s="38">
        <f>VLOOKUP($A48,MasterTable[],B$103,FALSE)</f>
        <v>66022</v>
      </c>
      <c r="C48" s="65">
        <f>VLOOKUP($A48,MasterTable[],C$103,FALSE)</f>
        <v>29073</v>
      </c>
      <c r="D48" s="65">
        <f>VLOOKUP($A48,MasterTable[],D$103,FALSE)</f>
        <v>36949</v>
      </c>
      <c r="E48" s="38">
        <f>VLOOKUP($A48,MasterTable[],E$103,FALSE)</f>
        <v>29063</v>
      </c>
      <c r="F48" s="65">
        <f>VLOOKUP($A48,MasterTable[],F$103,FALSE)</f>
        <v>16183</v>
      </c>
      <c r="G48" s="65">
        <f>VLOOKUP($A48,MasterTable[],G$103,FALSE)</f>
        <v>12880</v>
      </c>
      <c r="H48" s="38">
        <f>VLOOKUP($A48,MasterTable[],H$103,FALSE)</f>
        <v>36959</v>
      </c>
      <c r="I48" s="65">
        <f>VLOOKUP($A48,MasterTable[],I$103,FALSE)</f>
        <v>12890</v>
      </c>
      <c r="J48" s="65">
        <f>VLOOKUP($A48,MasterTable[],J$103,FALSE)</f>
        <v>24069</v>
      </c>
      <c r="K48" s="41">
        <f>VLOOKUP($A48,MasterTable[],K$103,FALSE)</f>
        <v>467</v>
      </c>
      <c r="L48" s="66">
        <f>VLOOKUP($A48,MasterTable[],L$103,FALSE)</f>
        <v>6.9893438697318008E-3</v>
      </c>
      <c r="M48" s="41">
        <f>VLOOKUP($A48,MasterTable[],M$103,FALSE)</f>
        <v>175</v>
      </c>
      <c r="N48" s="66">
        <f>VLOOKUP($A48,MasterTable[],N$103,FALSE)</f>
        <v>5.8934464875058934E-3</v>
      </c>
      <c r="O48" s="41">
        <f>VLOOKUP($A48,MasterTable[],O$103,FALSE)</f>
        <v>292</v>
      </c>
      <c r="P48" s="66">
        <f>VLOOKUP($A48,MasterTable[],P$103,FALSE)</f>
        <v>7.8659554980873882E-3</v>
      </c>
      <c r="Q48" s="41">
        <f>VLOOKUP($A48,MasterTable[],Q$103,FALSE)</f>
        <v>1117</v>
      </c>
      <c r="R48" s="66">
        <f>VLOOKUP($A48,MasterTable[],R$103,FALSE)</f>
        <v>1.6717552681992338E-2</v>
      </c>
      <c r="S48" s="41">
        <f>VLOOKUP($A48,MasterTable[],S$103,FALSE)</f>
        <v>643</v>
      </c>
      <c r="T48" s="66">
        <f>VLOOKUP($A48,MasterTable[],T$103,FALSE)</f>
        <v>2.1654206236950226E-2</v>
      </c>
      <c r="U48" s="41">
        <f>VLOOKUP($A48,MasterTable[],U$103,FALSE)</f>
        <v>474</v>
      </c>
      <c r="V48" s="66">
        <f>VLOOKUP($A48,MasterTable[],V$103,FALSE)</f>
        <v>1.2768708582511718E-2</v>
      </c>
      <c r="W48" s="64">
        <f>VLOOKUP($A48,MasterTable[],W$103,FALSE)</f>
        <v>-650</v>
      </c>
      <c r="X48" s="64">
        <f>VLOOKUP($A48,MasterTable[],X$103,FALSE)</f>
        <v>-468</v>
      </c>
      <c r="Y48" s="64">
        <f>VLOOKUP($A48,MasterTable[],Y$103,FALSE)</f>
        <v>-182</v>
      </c>
      <c r="Z48" s="41">
        <f>VLOOKUP($A48,MasterTable[],Z$103,FALSE)</f>
        <v>554</v>
      </c>
      <c r="AA48" s="66">
        <f>VLOOKUP($A48,MasterTable[],AA$103,FALSE)</f>
        <v>8.2914272030651347E-3</v>
      </c>
      <c r="AB48" s="41">
        <f>VLOOKUP($A48,MasterTable[],AB$103,FALSE)</f>
        <v>269</v>
      </c>
      <c r="AC48" s="66">
        <f>VLOOKUP($A48,MasterTable[],AC$103,FALSE)</f>
        <v>9.0590691722233444E-3</v>
      </c>
      <c r="AD48" s="41">
        <f>VLOOKUP($A48,MasterTable[],AD$103,FALSE)</f>
        <v>285</v>
      </c>
      <c r="AE48" s="66">
        <f>VLOOKUP($A48,MasterTable[],AE$103,FALSE)</f>
        <v>7.677388071763375E-3</v>
      </c>
      <c r="AF48" s="41">
        <f>VLOOKUP($A48,MasterTable[],AF$103,FALSE)</f>
        <v>303</v>
      </c>
      <c r="AG48" s="66">
        <f>VLOOKUP($A48,MasterTable[],AG$103,FALSE)</f>
        <v>4.5348419540229886E-3</v>
      </c>
      <c r="AH48" s="41">
        <f>VLOOKUP($A48,MasterTable[],AH$103,FALSE)</f>
        <v>39</v>
      </c>
      <c r="AI48" s="66">
        <f>VLOOKUP($A48,MasterTable[],AI$103,FALSE)</f>
        <v>1.3133966457870277E-3</v>
      </c>
      <c r="AJ48" s="41">
        <f>VLOOKUP($A48,MasterTable[],AJ$103,FALSE)</f>
        <v>264</v>
      </c>
      <c r="AK48" s="66">
        <f>VLOOKUP($A48,MasterTable[],AK$103,FALSE)</f>
        <v>7.1116857927913365E-3</v>
      </c>
      <c r="AL48" s="41">
        <f>VLOOKUP($A48,MasterTable[],AL$103,FALSE)</f>
        <v>416</v>
      </c>
      <c r="AM48" s="66">
        <f>VLOOKUP($A48,MasterTable[],AM$103,FALSE)</f>
        <v>6.2260536398467429E-3</v>
      </c>
      <c r="AN48" s="41">
        <f>VLOOKUP($A48,MasterTable[],AN$103,FALSE)</f>
        <v>61</v>
      </c>
      <c r="AO48" s="66">
        <f>VLOOKUP($A48,MasterTable[],AO$103,FALSE)</f>
        <v>2.0542870613591969E-3</v>
      </c>
      <c r="AP48" s="41">
        <f>VLOOKUP($A48,MasterTable[],AP$103,FALSE)</f>
        <v>355</v>
      </c>
      <c r="AQ48" s="66">
        <f>VLOOKUP($A48,MasterTable[],AQ$103,FALSE)</f>
        <v>9.5630623350035013E-3</v>
      </c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</row>
    <row r="49" spans="1:61" s="84" customFormat="1" ht="20.149999999999999" customHeight="1" x14ac:dyDescent="0.35">
      <c r="A49" s="82" t="s">
        <v>40</v>
      </c>
      <c r="B49" s="38">
        <f>VLOOKUP($A49,MasterTable[],B$103,FALSE)</f>
        <v>66816</v>
      </c>
      <c r="C49" s="65">
        <f>VLOOKUP($A49,MasterTable[],C$103,FALSE)</f>
        <v>29207</v>
      </c>
      <c r="D49" s="65">
        <f>VLOOKUP($A49,MasterTable[],D$103,FALSE)</f>
        <v>37609</v>
      </c>
      <c r="E49" s="38">
        <f>VLOOKUP($A49,MasterTable[],E$103,FALSE)</f>
        <v>29694</v>
      </c>
      <c r="F49" s="65">
        <f>VLOOKUP($A49,MasterTable[],F$103,FALSE)</f>
        <v>16362</v>
      </c>
      <c r="G49" s="65">
        <f>VLOOKUP($A49,MasterTable[],G$103,FALSE)</f>
        <v>13332</v>
      </c>
      <c r="H49" s="38">
        <f>VLOOKUP($A49,MasterTable[],H$103,FALSE)</f>
        <v>37122</v>
      </c>
      <c r="I49" s="65">
        <f>VLOOKUP($A49,MasterTable[],I$103,FALSE)</f>
        <v>12845</v>
      </c>
      <c r="J49" s="65">
        <f>VLOOKUP($A49,MasterTable[],J$103,FALSE)</f>
        <v>24277</v>
      </c>
      <c r="K49" s="41">
        <f>VLOOKUP($A49,MasterTable[],K$103,FALSE)</f>
        <v>758</v>
      </c>
      <c r="L49" s="66">
        <f>VLOOKUP($A49,MasterTable[],L$103,FALSE)</f>
        <v>1.1215506399348967E-2</v>
      </c>
      <c r="M49" s="41">
        <f>VLOOKUP($A49,MasterTable[],M$103,FALSE)</f>
        <v>300</v>
      </c>
      <c r="N49" s="66">
        <f>VLOOKUP($A49,MasterTable[],N$103,FALSE)</f>
        <v>9.879470460383323E-3</v>
      </c>
      <c r="O49" s="41">
        <f>VLOOKUP($A49,MasterTable[],O$103,FALSE)</f>
        <v>458</v>
      </c>
      <c r="P49" s="66">
        <f>VLOOKUP($A49,MasterTable[],P$103,FALSE)</f>
        <v>1.2305542867890056E-2</v>
      </c>
      <c r="Q49" s="41">
        <f>VLOOKUP($A49,MasterTable[],Q$103,FALSE)</f>
        <v>1057</v>
      </c>
      <c r="R49" s="66">
        <f>VLOOKUP($A49,MasterTable[],R$103,FALSE)</f>
        <v>1.5639564992232003E-2</v>
      </c>
      <c r="S49" s="41">
        <f>VLOOKUP($A49,MasterTable[],S$103,FALSE)</f>
        <v>577</v>
      </c>
      <c r="T49" s="66">
        <f>VLOOKUP($A49,MasterTable[],T$103,FALSE)</f>
        <v>1.9001514852137257E-2</v>
      </c>
      <c r="U49" s="41">
        <f>VLOOKUP($A49,MasterTable[],U$103,FALSE)</f>
        <v>480</v>
      </c>
      <c r="V49" s="66">
        <f>VLOOKUP($A49,MasterTable[],V$103,FALSE)</f>
        <v>1.2896638813509229E-2</v>
      </c>
      <c r="W49" s="64">
        <f>VLOOKUP($A49,MasterTable[],W$103,FALSE)</f>
        <v>-299</v>
      </c>
      <c r="X49" s="64">
        <f>VLOOKUP($A49,MasterTable[],X$103,FALSE)</f>
        <v>-277</v>
      </c>
      <c r="Y49" s="64">
        <f>VLOOKUP($A49,MasterTable[],Y$103,FALSE)</f>
        <v>-22</v>
      </c>
      <c r="Z49" s="41">
        <f>VLOOKUP($A49,MasterTable[],Z$103,FALSE)</f>
        <v>592</v>
      </c>
      <c r="AA49" s="66">
        <f>VLOOKUP($A49,MasterTable[],AA$103,FALSE)</f>
        <v>8.7593400902567144E-3</v>
      </c>
      <c r="AB49" s="41">
        <f>VLOOKUP($A49,MasterTable[],AB$103,FALSE)</f>
        <v>274</v>
      </c>
      <c r="AC49" s="66">
        <f>VLOOKUP($A49,MasterTable[],AC$103,FALSE)</f>
        <v>9.0232496871501013E-3</v>
      </c>
      <c r="AD49" s="41">
        <f>VLOOKUP($A49,MasterTable[],AD$103,FALSE)</f>
        <v>318</v>
      </c>
      <c r="AE49" s="66">
        <f>VLOOKUP($A49,MasterTable[],AE$103,FALSE)</f>
        <v>8.5440232139498643E-3</v>
      </c>
      <c r="AF49" s="41">
        <f>VLOOKUP($A49,MasterTable[],AF$103,FALSE)</f>
        <v>303</v>
      </c>
      <c r="AG49" s="66">
        <f>VLOOKUP($A49,MasterTable[],AG$103,FALSE)</f>
        <v>4.4832433232226089E-3</v>
      </c>
      <c r="AH49" s="41">
        <f>VLOOKUP($A49,MasterTable[],AH$103,FALSE)</f>
        <v>47</v>
      </c>
      <c r="AI49" s="66">
        <f>VLOOKUP($A49,MasterTable[],AI$103,FALSE)</f>
        <v>1.5477837054600539E-3</v>
      </c>
      <c r="AJ49" s="41">
        <f>VLOOKUP($A49,MasterTable[],AJ$103,FALSE)</f>
        <v>256</v>
      </c>
      <c r="AK49" s="66">
        <f>VLOOKUP($A49,MasterTable[],AK$103,FALSE)</f>
        <v>6.8782073672049226E-3</v>
      </c>
      <c r="AL49" s="41">
        <f>VLOOKUP($A49,MasterTable[],AL$103,FALSE)</f>
        <v>413</v>
      </c>
      <c r="AM49" s="66">
        <f>VLOOKUP($A49,MasterTable[],AM$103,FALSE)</f>
        <v>6.1108234075608493E-3</v>
      </c>
      <c r="AN49" s="41">
        <f>VLOOKUP($A49,MasterTable[],AN$103,FALSE)</f>
        <v>80</v>
      </c>
      <c r="AO49" s="66">
        <f>VLOOKUP($A49,MasterTable[],AO$103,FALSE)</f>
        <v>2.6345254561022198E-3</v>
      </c>
      <c r="AP49" s="41">
        <f>VLOOKUP($A49,MasterTable[],AP$103,FALSE)</f>
        <v>333</v>
      </c>
      <c r="AQ49" s="66">
        <f>VLOOKUP($A49,MasterTable[],AQ$103,FALSE)</f>
        <v>8.9470431768720275E-3</v>
      </c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</row>
    <row r="50" spans="1:61" s="84" customFormat="1" ht="20.149999999999999" customHeight="1" x14ac:dyDescent="0.35">
      <c r="A50" s="82" t="s">
        <v>39</v>
      </c>
      <c r="B50" s="38">
        <f>VLOOKUP($A50,MasterTable[],B$103,FALSE)</f>
        <v>67585</v>
      </c>
      <c r="C50" s="65">
        <f>VLOOKUP($A50,MasterTable[],C$103,FALSE)</f>
        <v>29446</v>
      </c>
      <c r="D50" s="65">
        <f>VLOOKUP($A50,MasterTable[],D$103,FALSE)</f>
        <v>38139</v>
      </c>
      <c r="E50" s="38">
        <f>VLOOKUP($A50,MasterTable[],E$103,FALSE)</f>
        <v>30366</v>
      </c>
      <c r="F50" s="65">
        <f>VLOOKUP($A50,MasterTable[],F$103,FALSE)</f>
        <v>16550</v>
      </c>
      <c r="G50" s="65">
        <f>VLOOKUP($A50,MasterTable[],G$103,FALSE)</f>
        <v>13816</v>
      </c>
      <c r="H50" s="38">
        <f>VLOOKUP($A50,MasterTable[],H$103,FALSE)</f>
        <v>37219</v>
      </c>
      <c r="I50" s="65">
        <f>VLOOKUP($A50,MasterTable[],I$103,FALSE)</f>
        <v>12896</v>
      </c>
      <c r="J50" s="65">
        <f>VLOOKUP($A50,MasterTable[],J$103,FALSE)</f>
        <v>24323</v>
      </c>
      <c r="K50" s="41">
        <f>VLOOKUP($A50,MasterTable[],K$103,FALSE)</f>
        <v>936</v>
      </c>
      <c r="L50" s="66">
        <f>VLOOKUP($A50,MasterTable[],L$103,FALSE)</f>
        <v>1.365725541694025E-2</v>
      </c>
      <c r="M50" s="41">
        <f>VLOOKUP($A50,MasterTable[],M$103,FALSE)</f>
        <v>455</v>
      </c>
      <c r="N50" s="66">
        <f>VLOOKUP($A50,MasterTable[],N$103,FALSE)</f>
        <v>1.4487216225682173E-2</v>
      </c>
      <c r="O50" s="41">
        <f>VLOOKUP($A50,MasterTable[],O$103,FALSE)</f>
        <v>481</v>
      </c>
      <c r="P50" s="66">
        <f>VLOOKUP($A50,MasterTable[],P$103,FALSE)</f>
        <v>1.2955182072829132E-2</v>
      </c>
      <c r="Q50" s="41">
        <f>VLOOKUP($A50,MasterTable[],Q$103,FALSE)</f>
        <v>1594</v>
      </c>
      <c r="R50" s="66">
        <f>VLOOKUP($A50,MasterTable[],R$103,FALSE)</f>
        <v>2.3258189246370468E-2</v>
      </c>
      <c r="S50" s="41">
        <f>VLOOKUP($A50,MasterTable[],S$103,FALSE)</f>
        <v>1075</v>
      </c>
      <c r="T50" s="66">
        <f>VLOOKUP($A50,MasterTable[],T$103,FALSE)</f>
        <v>3.4228038335402937E-2</v>
      </c>
      <c r="U50" s="41">
        <f>VLOOKUP($A50,MasterTable[],U$103,FALSE)</f>
        <v>519</v>
      </c>
      <c r="V50" s="66">
        <f>VLOOKUP($A50,MasterTable[],V$103,FALSE)</f>
        <v>1.3978668390433097E-2</v>
      </c>
      <c r="W50" s="64">
        <f>VLOOKUP($A50,MasterTable[],W$103,FALSE)</f>
        <v>-658</v>
      </c>
      <c r="X50" s="64">
        <f>VLOOKUP($A50,MasterTable[],X$103,FALSE)</f>
        <v>-620</v>
      </c>
      <c r="Y50" s="64">
        <f>VLOOKUP($A50,MasterTable[],Y$103,FALSE)</f>
        <v>-38</v>
      </c>
      <c r="Z50" s="41">
        <f>VLOOKUP($A50,MasterTable[],Z$103,FALSE)</f>
        <v>684</v>
      </c>
      <c r="AA50" s="66">
        <f>VLOOKUP($A50,MasterTable[],AA$103,FALSE)</f>
        <v>9.9803020354563357E-3</v>
      </c>
      <c r="AB50" s="41">
        <f>VLOOKUP($A50,MasterTable[],AB$103,FALSE)</f>
        <v>343</v>
      </c>
      <c r="AC50" s="66">
        <f>VLOOKUP($A50,MasterTable[],AC$103,FALSE)</f>
        <v>1.09211322316681E-2</v>
      </c>
      <c r="AD50" s="41">
        <f>VLOOKUP($A50,MasterTable[],AD$103,FALSE)</f>
        <v>341</v>
      </c>
      <c r="AE50" s="66">
        <f>VLOOKUP($A50,MasterTable[],AE$103,FALSE)</f>
        <v>9.1844430079724201E-3</v>
      </c>
      <c r="AF50" s="41">
        <f>VLOOKUP($A50,MasterTable[],AF$103,FALSE)</f>
        <v>366</v>
      </c>
      <c r="AG50" s="66">
        <f>VLOOKUP($A50,MasterTable[],AG$103,FALSE)</f>
        <v>5.3403370540599697E-3</v>
      </c>
      <c r="AH50" s="41">
        <f>VLOOKUP($A50,MasterTable[],AH$103,FALSE)</f>
        <v>39</v>
      </c>
      <c r="AI50" s="66">
        <f>VLOOKUP($A50,MasterTable[],AI$103,FALSE)</f>
        <v>1.2417613907727578E-3</v>
      </c>
      <c r="AJ50" s="41">
        <f>VLOOKUP($A50,MasterTable[],AJ$103,FALSE)</f>
        <v>327</v>
      </c>
      <c r="AK50" s="66">
        <f>VLOOKUP($A50,MasterTable[],AK$103,FALSE)</f>
        <v>8.8073691014867485E-3</v>
      </c>
      <c r="AL50" s="41">
        <f>VLOOKUP($A50,MasterTable[],AL$103,FALSE)</f>
        <v>499</v>
      </c>
      <c r="AM50" s="66">
        <f>VLOOKUP($A50,MasterTable[],AM$103,FALSE)</f>
        <v>7.2809513387320345E-3</v>
      </c>
      <c r="AN50" s="41">
        <f>VLOOKUP($A50,MasterTable[],AN$103,FALSE)</f>
        <v>92</v>
      </c>
      <c r="AO50" s="66">
        <f>VLOOKUP($A50,MasterTable[],AO$103,FALSE)</f>
        <v>2.9292832807972743E-3</v>
      </c>
      <c r="AP50" s="41">
        <f>VLOOKUP($A50,MasterTable[],AP$103,FALSE)</f>
        <v>407</v>
      </c>
      <c r="AQ50" s="66">
        <f>VLOOKUP($A50,MasterTable[],AQ$103,FALSE)</f>
        <v>1.0962077138547726E-2</v>
      </c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</row>
    <row r="51" spans="1:61" s="84" customFormat="1" ht="20.149999999999999" customHeight="1" x14ac:dyDescent="0.35">
      <c r="A51" s="82" t="s">
        <v>38</v>
      </c>
      <c r="B51" s="38">
        <f>VLOOKUP($A51,MasterTable[],B$103,FALSE)</f>
        <v>68535</v>
      </c>
      <c r="C51" s="65">
        <f>VLOOKUP($A51,MasterTable[],C$103,FALSE)</f>
        <v>29478</v>
      </c>
      <c r="D51" s="65">
        <f>VLOOKUP($A51,MasterTable[],D$103,FALSE)</f>
        <v>39057</v>
      </c>
      <c r="E51" s="38">
        <f>VLOOKUP($A51,MasterTable[],E$103,FALSE)</f>
        <v>31407</v>
      </c>
      <c r="F51" s="65">
        <f>VLOOKUP($A51,MasterTable[],F$103,FALSE)</f>
        <v>16710</v>
      </c>
      <c r="G51" s="65">
        <f>VLOOKUP($A51,MasterTable[],G$103,FALSE)</f>
        <v>14697</v>
      </c>
      <c r="H51" s="38">
        <f>VLOOKUP($A51,MasterTable[],H$103,FALSE)</f>
        <v>37128</v>
      </c>
      <c r="I51" s="65">
        <f>VLOOKUP($A51,MasterTable[],I$103,FALSE)</f>
        <v>12768</v>
      </c>
      <c r="J51" s="65">
        <f>VLOOKUP($A51,MasterTable[],J$103,FALSE)</f>
        <v>24360</v>
      </c>
      <c r="K51" s="41">
        <f>VLOOKUP($A51,MasterTable[],K$103,FALSE)</f>
        <v>1443</v>
      </c>
      <c r="L51" s="66">
        <f>VLOOKUP($A51,MasterTable[],L$103,FALSE)</f>
        <v>2.0859534238258381E-2</v>
      </c>
      <c r="M51" s="41">
        <f>VLOOKUP($A51,MasterTable[],M$103,FALSE)</f>
        <v>663</v>
      </c>
      <c r="N51" s="66">
        <f>VLOOKUP($A51,MasterTable[],N$103,FALSE)</f>
        <v>2.034928332463706E-2</v>
      </c>
      <c r="O51" s="41">
        <f>VLOOKUP($A51,MasterTable[],O$103,FALSE)</f>
        <v>780</v>
      </c>
      <c r="P51" s="66">
        <f>VLOOKUP($A51,MasterTable[],P$103,FALSE)</f>
        <v>2.131380478740846E-2</v>
      </c>
      <c r="Q51" s="41">
        <f>VLOOKUP($A51,MasterTable[],Q$103,FALSE)</f>
        <v>1896</v>
      </c>
      <c r="R51" s="66">
        <f>VLOOKUP($A51,MasterTable[],R$103,FALSE)</f>
        <v>2.7407953510559867E-2</v>
      </c>
      <c r="S51" s="41">
        <f>VLOOKUP($A51,MasterTable[],S$103,FALSE)</f>
        <v>1476</v>
      </c>
      <c r="T51" s="66">
        <f>VLOOKUP($A51,MasterTable[],T$103,FALSE)</f>
        <v>4.5302476903716887E-2</v>
      </c>
      <c r="U51" s="41">
        <f>VLOOKUP($A51,MasterTable[],U$103,FALSE)</f>
        <v>420</v>
      </c>
      <c r="V51" s="66">
        <f>VLOOKUP($A51,MasterTable[],V$103,FALSE)</f>
        <v>1.1476664116296864E-2</v>
      </c>
      <c r="W51" s="64">
        <f>VLOOKUP($A51,MasterTable[],W$103,FALSE)</f>
        <v>-453</v>
      </c>
      <c r="X51" s="64">
        <f>VLOOKUP($A51,MasterTable[],X$103,FALSE)</f>
        <v>-813</v>
      </c>
      <c r="Y51" s="64">
        <f>VLOOKUP($A51,MasterTable[],Y$103,FALSE)</f>
        <v>360</v>
      </c>
      <c r="Z51" s="41">
        <f>VLOOKUP($A51,MasterTable[],Z$103,FALSE)</f>
        <v>467</v>
      </c>
      <c r="AA51" s="66">
        <f>VLOOKUP($A51,MasterTable[],AA$103,FALSE)</f>
        <v>6.7507986758604741E-3</v>
      </c>
      <c r="AB51" s="41">
        <f>VLOOKUP($A51,MasterTable[],AB$103,FALSE)</f>
        <v>248</v>
      </c>
      <c r="AC51" s="66">
        <f>VLOOKUP($A51,MasterTable[],AC$103,FALSE)</f>
        <v>7.6117982873453857E-3</v>
      </c>
      <c r="AD51" s="41">
        <f>VLOOKUP($A51,MasterTable[],AD$103,FALSE)</f>
        <v>219</v>
      </c>
      <c r="AE51" s="66">
        <f>VLOOKUP($A51,MasterTable[],AE$103,FALSE)</f>
        <v>5.9842605749262211E-3</v>
      </c>
      <c r="AF51" s="41">
        <f>VLOOKUP($A51,MasterTable[],AF$103,FALSE)</f>
        <v>395</v>
      </c>
      <c r="AG51" s="66">
        <f>VLOOKUP($A51,MasterTable[],AG$103,FALSE)</f>
        <v>5.7099903146999725E-3</v>
      </c>
      <c r="AH51" s="41">
        <f>VLOOKUP($A51,MasterTable[],AH$103,FALSE)</f>
        <v>59</v>
      </c>
      <c r="AI51" s="66">
        <f>VLOOKUP($A51,MasterTable[],AI$103,FALSE)</f>
        <v>1.8108713667474908E-3</v>
      </c>
      <c r="AJ51" s="41">
        <f>VLOOKUP($A51,MasterTable[],AJ$103,FALSE)</f>
        <v>336</v>
      </c>
      <c r="AK51" s="66">
        <f>VLOOKUP($A51,MasterTable[],AK$103,FALSE)</f>
        <v>9.181331293037491E-3</v>
      </c>
      <c r="AL51" s="41">
        <f>VLOOKUP($A51,MasterTable[],AL$103,FALSE)</f>
        <v>513</v>
      </c>
      <c r="AM51" s="66">
        <f>VLOOKUP($A51,MasterTable[],AM$103,FALSE)</f>
        <v>7.4157595732685716E-3</v>
      </c>
      <c r="AN51" s="41">
        <f>VLOOKUP($A51,MasterTable[],AN$103,FALSE)</f>
        <v>97</v>
      </c>
      <c r="AO51" s="66">
        <f>VLOOKUP($A51,MasterTable[],AO$103,FALSE)</f>
        <v>2.9771952978729934E-3</v>
      </c>
      <c r="AP51" s="41">
        <f>VLOOKUP($A51,MasterTable[],AP$103,FALSE)</f>
        <v>416</v>
      </c>
      <c r="AQ51" s="66">
        <f>VLOOKUP($A51,MasterTable[],AQ$103,FALSE)</f>
        <v>1.1367362553284513E-2</v>
      </c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</row>
    <row r="52" spans="1:61" s="84" customFormat="1" ht="20.149999999999999" customHeight="1" x14ac:dyDescent="0.35">
      <c r="A52" s="67" t="s">
        <v>37</v>
      </c>
      <c r="B52" s="38">
        <f>VLOOKUP($A52,MasterTable[],B$103,FALSE)</f>
        <v>69177</v>
      </c>
      <c r="C52" s="65">
        <f>VLOOKUP($A52,MasterTable[],C$103,FALSE)</f>
        <v>29168</v>
      </c>
      <c r="D52" s="65">
        <f>VLOOKUP($A52,MasterTable[],D$103,FALSE)</f>
        <v>40009</v>
      </c>
      <c r="E52" s="38">
        <f>VLOOKUP($A52,MasterTable[],E$103,FALSE)</f>
        <v>32581</v>
      </c>
      <c r="F52" s="65">
        <f>VLOOKUP($A52,MasterTable[],F$103,FALSE)</f>
        <v>16591</v>
      </c>
      <c r="G52" s="65">
        <f>VLOOKUP($A52,MasterTable[],G$103,FALSE)</f>
        <v>15990</v>
      </c>
      <c r="H52" s="38">
        <f>VLOOKUP($A52,MasterTable[],H$103,FALSE)</f>
        <v>36596</v>
      </c>
      <c r="I52" s="65">
        <f>VLOOKUP($A52,MasterTable[],I$103,FALSE)</f>
        <v>12577</v>
      </c>
      <c r="J52" s="65">
        <f>VLOOKUP($A52,MasterTable[],J$103,FALSE)</f>
        <v>24019</v>
      </c>
      <c r="K52" s="41">
        <f>VLOOKUP($A52,MasterTable[],K$103,FALSE)</f>
        <v>1224</v>
      </c>
      <c r="L52" s="66">
        <f>VLOOKUP($A52,MasterTable[],L$103,FALSE)</f>
        <v>1.7577872560423938E-2</v>
      </c>
      <c r="M52" s="41">
        <f>VLOOKUP($A52,MasterTable[],M$103,FALSE)</f>
        <v>868</v>
      </c>
      <c r="N52" s="66">
        <f>VLOOKUP($A52,MasterTable[],N$103,FALSE)</f>
        <v>2.6453736437888578E-2</v>
      </c>
      <c r="O52" s="41">
        <f>VLOOKUP($A52,MasterTable[],O$103,FALSE)</f>
        <v>356</v>
      </c>
      <c r="P52" s="66">
        <f>VLOOKUP($A52,MasterTable[],P$103,FALSE)</f>
        <v>9.6683957524238886E-3</v>
      </c>
      <c r="Q52" s="41">
        <f>VLOOKUP($A52,MasterTable[],Q$103,FALSE)</f>
        <v>1603</v>
      </c>
      <c r="R52" s="66">
        <f>VLOOKUP($A52,MasterTable[],R$103,FALSE)</f>
        <v>2.302069421107808E-2</v>
      </c>
      <c r="S52" s="41">
        <f>VLOOKUP($A52,MasterTable[],S$103,FALSE)</f>
        <v>1054</v>
      </c>
      <c r="T52" s="66">
        <f>VLOOKUP($A52,MasterTable[],T$103,FALSE)</f>
        <v>3.212239424600756E-2</v>
      </c>
      <c r="U52" s="41">
        <f>VLOOKUP($A52,MasterTable[],U$103,FALSE)</f>
        <v>549</v>
      </c>
      <c r="V52" s="66">
        <f>VLOOKUP($A52,MasterTable[],V$103,FALSE)</f>
        <v>1.4909969854159311E-2</v>
      </c>
      <c r="W52" s="64">
        <f>VLOOKUP($A52,MasterTable[],W$103,FALSE)</f>
        <v>-379</v>
      </c>
      <c r="X52" s="64">
        <f>VLOOKUP($A52,MasterTable[],X$103,FALSE)</f>
        <v>-186</v>
      </c>
      <c r="Y52" s="64">
        <f>VLOOKUP($A52,MasterTable[],Y$103,FALSE)</f>
        <v>-193</v>
      </c>
      <c r="Z52" s="41">
        <f>VLOOKUP($A52,MasterTable[],Z$103,FALSE)</f>
        <v>689</v>
      </c>
      <c r="AA52" s="66">
        <f>VLOOKUP($A52,MasterTable[],AA$103,FALSE)</f>
        <v>9.8947338187353705E-3</v>
      </c>
      <c r="AB52" s="41">
        <f>VLOOKUP($A52,MasterTable[],AB$103,FALSE)</f>
        <v>335</v>
      </c>
      <c r="AC52" s="66">
        <f>VLOOKUP($A52,MasterTable[],AC$103,FALSE)</f>
        <v>1.0209679385590637E-2</v>
      </c>
      <c r="AD52" s="41">
        <f>VLOOKUP($A52,MasterTable[],AD$103,FALSE)</f>
        <v>354</v>
      </c>
      <c r="AE52" s="66">
        <f>VLOOKUP($A52,MasterTable[],AE$103,FALSE)</f>
        <v>9.6140789223540923E-3</v>
      </c>
      <c r="AF52" s="41">
        <f>VLOOKUP($A52,MasterTable[],AF$103,FALSE)</f>
        <v>223</v>
      </c>
      <c r="AG52" s="66">
        <f>VLOOKUP($A52,MasterTable[],AG$103,FALSE)</f>
        <v>3.2025045596197205E-3</v>
      </c>
      <c r="AH52" s="41">
        <f>VLOOKUP($A52,MasterTable[],AH$103,FALSE)</f>
        <v>51</v>
      </c>
      <c r="AI52" s="66">
        <f>VLOOKUP($A52,MasterTable[],AI$103,FALSE)</f>
        <v>1.5543093990003658E-3</v>
      </c>
      <c r="AJ52" s="41">
        <f>VLOOKUP($A52,MasterTable[],AJ$103,FALSE)</f>
        <v>172</v>
      </c>
      <c r="AK52" s="66">
        <f>VLOOKUP($A52,MasterTable[],AK$103,FALSE)</f>
        <v>4.6712473860025527E-3</v>
      </c>
      <c r="AL52" s="41">
        <f>VLOOKUP($A52,MasterTable[],AL$103,FALSE)</f>
        <v>437</v>
      </c>
      <c r="AM52" s="66">
        <f>VLOOKUP($A52,MasterTable[],AM$103,FALSE)</f>
        <v>6.2757600562951474E-3</v>
      </c>
      <c r="AN52" s="41">
        <f>VLOOKUP($A52,MasterTable[],AN$103,FALSE)</f>
        <v>84</v>
      </c>
      <c r="AO52" s="66">
        <f>VLOOKUP($A52,MasterTable[],AO$103,FALSE)</f>
        <v>2.5600390101182496E-3</v>
      </c>
      <c r="AP52" s="41">
        <f>VLOOKUP($A52,MasterTable[],AP$103,FALSE)</f>
        <v>353</v>
      </c>
      <c r="AQ52" s="66">
        <f>VLOOKUP($A52,MasterTable[],AQ$103,FALSE)</f>
        <v>9.5869205073191924E-3</v>
      </c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</row>
    <row r="53" spans="1:61" ht="20.25" customHeight="1" x14ac:dyDescent="0.35">
      <c r="A53" s="67" t="s">
        <v>36</v>
      </c>
      <c r="B53" s="38">
        <f>VLOOKUP($A53,MasterTable[],B$103,FALSE)</f>
        <v>69633</v>
      </c>
      <c r="C53" s="65">
        <f>VLOOKUP($A53,MasterTable[],C$103,FALSE)</f>
        <v>29173</v>
      </c>
      <c r="D53" s="65">
        <f>VLOOKUP($A53,MasterTable[],D$103,FALSE)</f>
        <v>40460</v>
      </c>
      <c r="E53" s="38">
        <f>VLOOKUP($A53,MasterTable[],E$103,FALSE)</f>
        <v>32812</v>
      </c>
      <c r="F53" s="65">
        <f>VLOOKUP($A53,MasterTable[],F$103,FALSE)</f>
        <v>16614</v>
      </c>
      <c r="G53" s="65">
        <f>VLOOKUP($A53,MasterTable[],G$103,FALSE)</f>
        <v>16198</v>
      </c>
      <c r="H53" s="38">
        <f>VLOOKUP($A53,MasterTable[],H$103,FALSE)</f>
        <v>36821</v>
      </c>
      <c r="I53" s="65">
        <f>VLOOKUP($A53,MasterTable[],I$103,FALSE)</f>
        <v>12559</v>
      </c>
      <c r="J53" s="65">
        <f>VLOOKUP($A53,MasterTable[],J$103,FALSE)</f>
        <v>24262</v>
      </c>
      <c r="K53" s="41">
        <f>VLOOKUP($A53,MasterTable[],K$103,FALSE)</f>
        <v>1244</v>
      </c>
      <c r="L53" s="66">
        <f>VLOOKUP($A53,MasterTable[],L$103,FALSE)</f>
        <v>1.7763308201964815E-2</v>
      </c>
      <c r="M53" s="41">
        <f>VLOOKUP($A53,MasterTable[],M$103,FALSE)</f>
        <v>828</v>
      </c>
      <c r="N53" s="66">
        <f>VLOOKUP($A53,MasterTable[],N$103,FALSE)</f>
        <v>2.4983404743226117E-2</v>
      </c>
      <c r="O53" s="41">
        <f>VLOOKUP($A53,MasterTable[],O$103,FALSE)</f>
        <v>416</v>
      </c>
      <c r="P53" s="66">
        <f>VLOOKUP($A53,MasterTable[],P$103,FALSE)</f>
        <v>1.1276768772024938E-2</v>
      </c>
      <c r="Q53" s="41">
        <f>VLOOKUP($A53,MasterTable[],Q$103,FALSE)</f>
        <v>1303</v>
      </c>
      <c r="R53" s="66">
        <f>VLOOKUP($A53,MasterTable[],R$103,FALSE)</f>
        <v>1.8605780214758966E-2</v>
      </c>
      <c r="S53" s="41">
        <f>VLOOKUP($A53,MasterTable[],S$103,FALSE)</f>
        <v>917</v>
      </c>
      <c r="T53" s="66">
        <f>VLOOKUP($A53,MasterTable[],T$103,FALSE)</f>
        <v>2.7668819021181582E-2</v>
      </c>
      <c r="U53" s="41">
        <f>VLOOKUP($A53,MasterTable[],U$103,FALSE)</f>
        <v>386</v>
      </c>
      <c r="V53" s="66">
        <f>VLOOKUP($A53,MasterTable[],V$103,FALSE)</f>
        <v>1.0463540254811603E-2</v>
      </c>
      <c r="W53" s="64">
        <f>VLOOKUP($A53,MasterTable[],W$103,FALSE)</f>
        <v>-59</v>
      </c>
      <c r="X53" s="64">
        <f>VLOOKUP($A53,MasterTable[],X$103,FALSE)</f>
        <v>-89</v>
      </c>
      <c r="Y53" s="64">
        <f>VLOOKUP($A53,MasterTable[],Y$103,FALSE)</f>
        <v>30</v>
      </c>
      <c r="Z53" s="41">
        <f>VLOOKUP($A53,MasterTable[],Z$103,FALSE)</f>
        <v>423</v>
      </c>
      <c r="AA53" s="66">
        <f>VLOOKUP($A53,MasterTable[],AA$103,FALSE)</f>
        <v>6.0400959561343389E-3</v>
      </c>
      <c r="AB53" s="41">
        <f>VLOOKUP($A53,MasterTable[],AB$103,FALSE)</f>
        <v>212</v>
      </c>
      <c r="AC53" s="66">
        <f>VLOOKUP($A53,MasterTable[],AC$103,FALSE)</f>
        <v>6.3967171564781851E-3</v>
      </c>
      <c r="AD53" s="41">
        <f>VLOOKUP($A53,MasterTable[],AD$103,FALSE)</f>
        <v>211</v>
      </c>
      <c r="AE53" s="66">
        <f>VLOOKUP($A53,MasterTable[],AE$103,FALSE)</f>
        <v>5.7197072377338032E-3</v>
      </c>
      <c r="AF53" s="41">
        <f>VLOOKUP($A53,MasterTable[],AF$103,FALSE)</f>
        <v>319</v>
      </c>
      <c r="AG53" s="66">
        <f>VLOOKUP($A53,MasterTable[],AG$103,FALSE)</f>
        <v>4.5550605437514281E-3</v>
      </c>
      <c r="AH53" s="41">
        <f>VLOOKUP($A53,MasterTable[],AH$103,FALSE)</f>
        <v>32</v>
      </c>
      <c r="AI53" s="66">
        <f>VLOOKUP($A53,MasterTable[],AI$103,FALSE)</f>
        <v>9.6554221229859397E-4</v>
      </c>
      <c r="AJ53" s="41">
        <f>VLOOKUP($A53,MasterTable[],AJ$103,FALSE)</f>
        <v>287</v>
      </c>
      <c r="AK53" s="66">
        <f>VLOOKUP($A53,MasterTable[],AK$103,FALSE)</f>
        <v>7.7798861480075903E-3</v>
      </c>
      <c r="AL53" s="41">
        <f>VLOOKUP($A53,MasterTable[],AL$103,FALSE)</f>
        <v>367</v>
      </c>
      <c r="AM53" s="66">
        <f>VLOOKUP($A53,MasterTable[],AM$103,FALSE)</f>
        <v>5.2404615033127709E-3</v>
      </c>
      <c r="AN53" s="41">
        <f>VLOOKUP($A53,MasterTable[],AN$103,FALSE)</f>
        <v>50</v>
      </c>
      <c r="AO53" s="66">
        <f>VLOOKUP($A53,MasterTable[],AO$103,FALSE)</f>
        <v>1.508659706716553E-3</v>
      </c>
      <c r="AP53" s="41">
        <f>VLOOKUP($A53,MasterTable[],AP$103,FALSE)</f>
        <v>317</v>
      </c>
      <c r="AQ53" s="66">
        <f>VLOOKUP($A53,MasterTable[],AQ$103,FALSE)</f>
        <v>8.5931146652209276E-3</v>
      </c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</row>
    <row r="54" spans="1:61" ht="20.25" customHeight="1" x14ac:dyDescent="0.35">
      <c r="A54" s="67" t="s">
        <v>35</v>
      </c>
      <c r="B54" s="38">
        <f>VLOOKUP($A54,MasterTable[],B$103,FALSE)</f>
        <v>70032</v>
      </c>
      <c r="C54" s="65">
        <f>VLOOKUP($A54,MasterTable[],C$103,FALSE)</f>
        <v>29362</v>
      </c>
      <c r="D54" s="65">
        <f>VLOOKUP($A54,MasterTable[],D$103,FALSE)</f>
        <v>40670</v>
      </c>
      <c r="E54" s="38">
        <f>VLOOKUP($A54,MasterTable[],E$103,FALSE)</f>
        <v>33142</v>
      </c>
      <c r="F54" s="65">
        <f>VLOOKUP($A54,MasterTable[],F$103,FALSE)</f>
        <v>16872</v>
      </c>
      <c r="G54" s="65">
        <f>VLOOKUP($A54,MasterTable[],G$103,FALSE)</f>
        <v>16270</v>
      </c>
      <c r="H54" s="38">
        <f>VLOOKUP($A54,MasterTable[],H$103,FALSE)</f>
        <v>36890</v>
      </c>
      <c r="I54" s="65">
        <f>VLOOKUP($A54,MasterTable[],I$103,FALSE)</f>
        <v>12490</v>
      </c>
      <c r="J54" s="65">
        <f>VLOOKUP($A54,MasterTable[],J$103,FALSE)</f>
        <v>24400</v>
      </c>
      <c r="K54" s="41">
        <f>VLOOKUP($A54,MasterTable[],K$103,FALSE)</f>
        <v>1081</v>
      </c>
      <c r="L54" s="66">
        <f>VLOOKUP($A54,MasterTable[],L$103,FALSE)</f>
        <v>1.5173846520964099E-2</v>
      </c>
      <c r="M54" s="41">
        <f>VLOOKUP($A54,MasterTable[],M$103,FALSE)</f>
        <v>671</v>
      </c>
      <c r="N54" s="66">
        <f>VLOOKUP($A54,MasterTable[],N$103,FALSE)</f>
        <v>1.9505813953488372E-2</v>
      </c>
      <c r="O54" s="41">
        <f>VLOOKUP($A54,MasterTable[],O$103,FALSE)</f>
        <v>410</v>
      </c>
      <c r="P54" s="66">
        <f>VLOOKUP($A54,MasterTable[],P$103,FALSE)</f>
        <v>1.1128905295730301E-2</v>
      </c>
      <c r="Q54" s="41">
        <f>VLOOKUP($A54,MasterTable[],Q$103,FALSE)</f>
        <v>2081</v>
      </c>
      <c r="R54" s="66">
        <f>VLOOKUP($A54,MasterTable[],R$103,FALSE)</f>
        <v>2.9210707317415534E-2</v>
      </c>
      <c r="S54" s="41">
        <f>VLOOKUP($A54,MasterTable[],S$103,FALSE)</f>
        <v>1417</v>
      </c>
      <c r="T54" s="66">
        <f>VLOOKUP($A54,MasterTable[],T$103,FALSE)</f>
        <v>4.1191860465116276E-2</v>
      </c>
      <c r="U54" s="41">
        <f>VLOOKUP($A54,MasterTable[],U$103,FALSE)</f>
        <v>664</v>
      </c>
      <c r="V54" s="66">
        <f>VLOOKUP($A54,MasterTable[],V$103,FALSE)</f>
        <v>1.8023397844792486E-2</v>
      </c>
      <c r="W54" s="64">
        <f>VLOOKUP($A54,MasterTable[],W$103,FALSE)</f>
        <v>-1000</v>
      </c>
      <c r="X54" s="64">
        <f>VLOOKUP($A54,MasterTable[],X$103,FALSE)</f>
        <v>-746</v>
      </c>
      <c r="Y54" s="64">
        <f>VLOOKUP($A54,MasterTable[],Y$103,FALSE)</f>
        <v>-254</v>
      </c>
      <c r="Z54" s="41">
        <f>VLOOKUP($A54,MasterTable[],Z$103,FALSE)</f>
        <v>1216</v>
      </c>
      <c r="AA54" s="66">
        <f>VLOOKUP($A54,MasterTable[],AA$103,FALSE)</f>
        <v>1.7068822728485002E-2</v>
      </c>
      <c r="AB54" s="41">
        <f>VLOOKUP($A54,MasterTable[],AB$103,FALSE)</f>
        <v>740</v>
      </c>
      <c r="AC54" s="66">
        <f>VLOOKUP($A54,MasterTable[],AC$103,FALSE)</f>
        <v>2.1511627906976746E-2</v>
      </c>
      <c r="AD54" s="41">
        <f>VLOOKUP($A54,MasterTable[],AD$103,FALSE)</f>
        <v>476</v>
      </c>
      <c r="AE54" s="66">
        <f>VLOOKUP($A54,MasterTable[],AE$103,FALSE)</f>
        <v>1.2920387611628349E-2</v>
      </c>
      <c r="AF54" s="41">
        <f>VLOOKUP($A54,MasterTable[],AF$103,FALSE)</f>
        <v>285</v>
      </c>
      <c r="AG54" s="66">
        <f>VLOOKUP($A54,MasterTable[],AG$103,FALSE)</f>
        <v>0</v>
      </c>
      <c r="AH54" s="41">
        <f>VLOOKUP($A54,MasterTable[],AH$103,FALSE)</f>
        <v>35</v>
      </c>
      <c r="AI54" s="66">
        <f>VLOOKUP($A54,MasterTable[],AI$103,FALSE)</f>
        <v>0</v>
      </c>
      <c r="AJ54" s="41">
        <f>VLOOKUP($A54,MasterTable[],AJ$103,FALSE)</f>
        <v>250</v>
      </c>
      <c r="AK54" s="66">
        <f>VLOOKUP($A54,MasterTable[],AK$103,FALSE)</f>
        <v>0</v>
      </c>
      <c r="AL54" s="41">
        <f>VLOOKUP($A54,MasterTable[],AL$103,FALSE)</f>
        <v>427</v>
      </c>
      <c r="AM54" s="66">
        <f>VLOOKUP($A54,MasterTable[],AM$103,FALSE)</f>
        <v>0</v>
      </c>
      <c r="AN54" s="41">
        <f>VLOOKUP($A54,MasterTable[],AN$103,FALSE)</f>
        <v>75</v>
      </c>
      <c r="AO54" s="66">
        <f>VLOOKUP($A54,MasterTable[],AO$103,FALSE)</f>
        <v>0</v>
      </c>
      <c r="AP54" s="41">
        <f>VLOOKUP($A54,MasterTable[],AP$103,FALSE)</f>
        <v>352</v>
      </c>
      <c r="AQ54" s="66">
        <f>VLOOKUP($A54,MasterTable[],AQ$103,FALSE)</f>
        <v>0</v>
      </c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</row>
    <row r="55" spans="1:61" x14ac:dyDescent="0.3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</row>
    <row r="56" spans="1:61" x14ac:dyDescent="0.3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</row>
    <row r="57" spans="1:61" x14ac:dyDescent="0.3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</row>
    <row r="58" spans="1:61" x14ac:dyDescent="0.3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</row>
    <row r="59" spans="1:61" x14ac:dyDescent="0.3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</row>
    <row r="60" spans="1:61" x14ac:dyDescent="0.3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</row>
    <row r="61" spans="1:61" x14ac:dyDescent="0.3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</row>
    <row r="62" spans="1:61" x14ac:dyDescent="0.3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</row>
    <row r="63" spans="1:61" x14ac:dyDescent="0.3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</row>
    <row r="64" spans="1:61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</row>
    <row r="65" spans="2:61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</row>
    <row r="66" spans="2:61" x14ac:dyDescent="0.3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</row>
    <row r="67" spans="2:61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</row>
    <row r="68" spans="2:61" x14ac:dyDescent="0.3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</row>
    <row r="69" spans="2:61" x14ac:dyDescent="0.3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</row>
    <row r="70" spans="2:61" x14ac:dyDescent="0.3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</row>
    <row r="71" spans="2:61" x14ac:dyDescent="0.3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</row>
    <row r="72" spans="2:61" x14ac:dyDescent="0.3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</row>
    <row r="73" spans="2:61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</row>
    <row r="74" spans="2:61" x14ac:dyDescent="0.3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</row>
    <row r="75" spans="2:61" x14ac:dyDescent="0.3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</row>
    <row r="76" spans="2:61" x14ac:dyDescent="0.3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</row>
    <row r="77" spans="2:61" x14ac:dyDescent="0.3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</row>
    <row r="78" spans="2:61" x14ac:dyDescent="0.3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</row>
    <row r="79" spans="2:61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</row>
    <row r="80" spans="2:61" x14ac:dyDescent="0.3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</row>
    <row r="81" spans="2:61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2:61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</row>
    <row r="83" spans="2:61" x14ac:dyDescent="0.3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</row>
    <row r="84" spans="2:61" x14ac:dyDescent="0.3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</row>
    <row r="85" spans="2:61" x14ac:dyDescent="0.3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</row>
    <row r="86" spans="2:61" x14ac:dyDescent="0.3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</row>
    <row r="87" spans="2:61" x14ac:dyDescent="0.3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</row>
    <row r="103" spans="2:43" x14ac:dyDescent="0.35">
      <c r="B103">
        <v>2</v>
      </c>
      <c r="C103">
        <v>3</v>
      </c>
      <c r="D103">
        <v>4</v>
      </c>
      <c r="E103">
        <v>5</v>
      </c>
      <c r="F103">
        <v>6</v>
      </c>
      <c r="G103">
        <v>7</v>
      </c>
      <c r="H103">
        <v>8</v>
      </c>
      <c r="I103">
        <v>9</v>
      </c>
      <c r="J103">
        <v>10</v>
      </c>
      <c r="K103">
        <v>11</v>
      </c>
      <c r="L103">
        <v>12</v>
      </c>
      <c r="M103">
        <v>13</v>
      </c>
      <c r="N103">
        <v>14</v>
      </c>
      <c r="O103">
        <v>15</v>
      </c>
      <c r="P103">
        <v>16</v>
      </c>
      <c r="Q103">
        <v>17</v>
      </c>
      <c r="R103">
        <v>18</v>
      </c>
      <c r="S103">
        <v>19</v>
      </c>
      <c r="T103">
        <v>20</v>
      </c>
      <c r="U103">
        <v>21</v>
      </c>
      <c r="V103">
        <v>22</v>
      </c>
      <c r="W103">
        <v>23</v>
      </c>
      <c r="X103">
        <v>24</v>
      </c>
      <c r="Y103">
        <v>25</v>
      </c>
      <c r="Z103">
        <v>26</v>
      </c>
      <c r="AA103">
        <v>27</v>
      </c>
      <c r="AB103">
        <v>28</v>
      </c>
      <c r="AC103">
        <v>29</v>
      </c>
      <c r="AD103">
        <v>30</v>
      </c>
      <c r="AE103">
        <v>31</v>
      </c>
      <c r="AF103">
        <v>32</v>
      </c>
      <c r="AG103">
        <v>33</v>
      </c>
      <c r="AH103">
        <v>34</v>
      </c>
      <c r="AI103">
        <v>35</v>
      </c>
      <c r="AJ103">
        <v>36</v>
      </c>
      <c r="AK103">
        <v>37</v>
      </c>
      <c r="AL103">
        <v>38</v>
      </c>
      <c r="AM103">
        <v>39</v>
      </c>
      <c r="AN103">
        <v>40</v>
      </c>
      <c r="AO103">
        <v>41</v>
      </c>
      <c r="AP103">
        <v>42</v>
      </c>
      <c r="AQ103">
        <v>43</v>
      </c>
    </row>
  </sheetData>
  <mergeCells count="40">
    <mergeCell ref="M4:N4"/>
    <mergeCell ref="H3:J3"/>
    <mergeCell ref="O4:P4"/>
    <mergeCell ref="Z3:AE3"/>
    <mergeCell ref="Z4:AA4"/>
    <mergeCell ref="AB4:AC4"/>
    <mergeCell ref="AD4:AE4"/>
    <mergeCell ref="W4:W5"/>
    <mergeCell ref="W3:Y3"/>
    <mergeCell ref="X4:X5"/>
    <mergeCell ref="Y4:Y5"/>
    <mergeCell ref="Q4:R4"/>
    <mergeCell ref="S4:T4"/>
    <mergeCell ref="U4:V4"/>
    <mergeCell ref="A1:R1"/>
    <mergeCell ref="A2:R2"/>
    <mergeCell ref="K3:P3"/>
    <mergeCell ref="Q3:V3"/>
    <mergeCell ref="A3:A5"/>
    <mergeCell ref="C3:C5"/>
    <mergeCell ref="D3:D5"/>
    <mergeCell ref="B3:B5"/>
    <mergeCell ref="E4:E5"/>
    <mergeCell ref="F4:F5"/>
    <mergeCell ref="G4:G5"/>
    <mergeCell ref="H4:H5"/>
    <mergeCell ref="I4:I5"/>
    <mergeCell ref="E3:G3"/>
    <mergeCell ref="J4:J5"/>
    <mergeCell ref="K4:L4"/>
    <mergeCell ref="S1:V2"/>
    <mergeCell ref="W1:Z2"/>
    <mergeCell ref="AF3:AK3"/>
    <mergeCell ref="AL3:AQ3"/>
    <mergeCell ref="AF4:AG4"/>
    <mergeCell ref="AH4:AI4"/>
    <mergeCell ref="AJ4:AK4"/>
    <mergeCell ref="AL4:AM4"/>
    <mergeCell ref="AN4:AO4"/>
    <mergeCell ref="AP4:AQ4"/>
  </mergeCells>
  <phoneticPr fontId="2" type="noConversion"/>
  <conditionalFormatting sqref="W6:Y54">
    <cfRule type="cellIs" dxfId="11" priority="16" operator="equal">
      <formula>0</formula>
    </cfRule>
    <cfRule type="cellIs" dxfId="10" priority="17" operator="lessThan">
      <formula>0</formula>
    </cfRule>
    <cfRule type="cellIs" dxfId="9" priority="18" operator="greaterThan">
      <formula>0</formula>
    </cfRule>
  </conditionalFormatting>
  <hyperlinks>
    <hyperlink ref="V1:Y2" location="'Introduction Page'!A1" display="Return to the Main Page" xr:uid="{DFF37209-2E54-4135-ADE2-A24379CE4C37}"/>
    <hyperlink ref="S1:T1" location="'Introduction Page'!A1" display="Return to the Main Page" xr:uid="{2EC65C86-EF6A-4CA0-8A2B-EDFCC6066EEC}"/>
    <hyperlink ref="W1:Z2" r:id="rId1" display="https://www.fedscope.opm.gov/datadefn/index.asp" xr:uid="{5A29C193-D098-4FC3-A163-8C0028F36217}"/>
  </hyperlinks>
  <pageMargins left="0.7" right="0.7" top="0.75" bottom="0.75" header="0.3" footer="0.3"/>
  <pageSetup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DAEF-4D39-4AF5-892D-A6C027DA3DC7}">
  <dimension ref="A1:AQ100"/>
  <sheetViews>
    <sheetView topLeftCell="D1" zoomScaleNormal="100" workbookViewId="0">
      <pane ySplit="3" topLeftCell="A33" activePane="bottomLeft" state="frozen"/>
      <selection pane="bottomLeft" activeCell="H61" sqref="H61"/>
    </sheetView>
  </sheetViews>
  <sheetFormatPr defaultRowHeight="14.5" x14ac:dyDescent="0.35"/>
  <cols>
    <col min="1" max="1" width="10.54296875" style="29" customWidth="1"/>
    <col min="2" max="10" width="8.54296875" customWidth="1"/>
    <col min="11" max="31" width="5.54296875" customWidth="1"/>
    <col min="32" max="42" width="5.7265625" customWidth="1"/>
    <col min="43" max="43" width="7.26953125" customWidth="1"/>
  </cols>
  <sheetData>
    <row r="1" spans="1:43" s="45" customFormat="1" ht="28.5" x14ac:dyDescent="0.65">
      <c r="A1" s="103" t="s">
        <v>69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29"/>
      <c r="T1" s="29"/>
      <c r="U1" s="29"/>
      <c r="V1" s="29"/>
      <c r="W1" s="139" t="s">
        <v>86</v>
      </c>
      <c r="X1" s="139"/>
      <c r="Y1" s="139"/>
      <c r="Z1" s="29"/>
      <c r="AA1" s="29"/>
      <c r="AB1" s="29"/>
      <c r="AC1" s="29"/>
      <c r="AD1" s="29"/>
      <c r="AE1" s="29"/>
    </row>
    <row r="2" spans="1:43" s="29" customFormat="1" ht="29" thickBot="1" x14ac:dyDescent="0.7">
      <c r="A2" s="141" t="s">
        <v>99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30"/>
      <c r="T2" s="30"/>
      <c r="U2" s="30"/>
      <c r="V2" s="30"/>
      <c r="W2" s="140"/>
      <c r="X2" s="140"/>
      <c r="Y2" s="140"/>
      <c r="Z2" s="30"/>
      <c r="AA2" s="30"/>
      <c r="AB2" s="30"/>
      <c r="AC2" s="30"/>
      <c r="AD2" s="30"/>
      <c r="AE2" s="30"/>
    </row>
    <row r="3" spans="1:43" s="95" customFormat="1" ht="73.5" customHeight="1" thickBot="1" x14ac:dyDescent="0.4">
      <c r="A3" s="46" t="s">
        <v>34</v>
      </c>
      <c r="B3" s="74" t="s">
        <v>10</v>
      </c>
      <c r="C3" s="74" t="s">
        <v>4</v>
      </c>
      <c r="D3" s="74" t="s">
        <v>76</v>
      </c>
      <c r="E3" s="74" t="s">
        <v>11</v>
      </c>
      <c r="F3" s="74" t="s">
        <v>77</v>
      </c>
      <c r="G3" s="74" t="s">
        <v>78</v>
      </c>
      <c r="H3" s="74" t="s">
        <v>12</v>
      </c>
      <c r="I3" s="74" t="s">
        <v>79</v>
      </c>
      <c r="J3" s="92" t="s">
        <v>80</v>
      </c>
      <c r="K3" s="93" t="s">
        <v>13</v>
      </c>
      <c r="L3" s="74" t="s">
        <v>14</v>
      </c>
      <c r="M3" s="74" t="s">
        <v>15</v>
      </c>
      <c r="N3" s="74" t="s">
        <v>16</v>
      </c>
      <c r="O3" s="74" t="s">
        <v>17</v>
      </c>
      <c r="P3" s="92" t="s">
        <v>18</v>
      </c>
      <c r="Q3" s="93" t="s">
        <v>19</v>
      </c>
      <c r="R3" s="74" t="s">
        <v>20</v>
      </c>
      <c r="S3" s="74" t="s">
        <v>21</v>
      </c>
      <c r="T3" s="74" t="s">
        <v>22</v>
      </c>
      <c r="U3" s="74" t="s">
        <v>23</v>
      </c>
      <c r="V3" s="92" t="s">
        <v>24</v>
      </c>
      <c r="W3" s="94" t="s">
        <v>25</v>
      </c>
      <c r="X3" s="74" t="s">
        <v>26</v>
      </c>
      <c r="Y3" s="92" t="s">
        <v>27</v>
      </c>
      <c r="Z3" s="94" t="s">
        <v>28</v>
      </c>
      <c r="AA3" s="74" t="s">
        <v>29</v>
      </c>
      <c r="AB3" s="74" t="s">
        <v>30</v>
      </c>
      <c r="AC3" s="74" t="s">
        <v>31</v>
      </c>
      <c r="AD3" s="74" t="s">
        <v>32</v>
      </c>
      <c r="AE3" s="92" t="s">
        <v>33</v>
      </c>
      <c r="AF3" s="73" t="s">
        <v>142</v>
      </c>
      <c r="AG3" s="73" t="s">
        <v>143</v>
      </c>
      <c r="AH3" s="74" t="s">
        <v>144</v>
      </c>
      <c r="AI3" s="74" t="s">
        <v>145</v>
      </c>
      <c r="AJ3" s="74" t="s">
        <v>146</v>
      </c>
      <c r="AK3" s="74" t="s">
        <v>147</v>
      </c>
      <c r="AL3" s="74" t="s">
        <v>148</v>
      </c>
      <c r="AM3" s="74" t="s">
        <v>149</v>
      </c>
      <c r="AN3" s="74" t="s">
        <v>150</v>
      </c>
      <c r="AO3" s="74" t="s">
        <v>151</v>
      </c>
      <c r="AP3" s="74" t="s">
        <v>152</v>
      </c>
      <c r="AQ3" s="74" t="s">
        <v>153</v>
      </c>
    </row>
    <row r="4" spans="1:43" x14ac:dyDescent="0.35">
      <c r="A4" s="35" t="s">
        <v>35</v>
      </c>
      <c r="B4" s="39">
        <f t="shared" ref="B4:B46" si="0">C4+D4</f>
        <v>70032</v>
      </c>
      <c r="C4" s="1">
        <f t="shared" ref="C4:C46" si="1">F4+I4</f>
        <v>29362</v>
      </c>
      <c r="D4" s="1">
        <f t="shared" ref="D4:D46" si="2">G4+J4</f>
        <v>40670</v>
      </c>
      <c r="E4" s="39">
        <v>33142</v>
      </c>
      <c r="F4" s="1">
        <f t="shared" ref="F4:F46" si="3">E4-G4</f>
        <v>16872</v>
      </c>
      <c r="G4" s="1">
        <v>16270</v>
      </c>
      <c r="H4" s="39">
        <v>36890</v>
      </c>
      <c r="I4" s="1">
        <f t="shared" ref="I4:I46" si="4">H4-J4</f>
        <v>12490</v>
      </c>
      <c r="J4" s="3">
        <v>24400</v>
      </c>
      <c r="K4" s="68">
        <f t="shared" ref="K4:K46" si="5">M4+O4</f>
        <v>1081</v>
      </c>
      <c r="L4" s="4">
        <v>1.5173846520964099E-2</v>
      </c>
      <c r="M4" s="42">
        <v>671</v>
      </c>
      <c r="N4" s="4">
        <v>1.9505813953488372E-2</v>
      </c>
      <c r="O4" s="42">
        <v>410</v>
      </c>
      <c r="P4" s="5">
        <v>1.1128905295730301E-2</v>
      </c>
      <c r="Q4" s="68">
        <f t="shared" ref="Q4:Q46" si="6">S4+U4</f>
        <v>2081</v>
      </c>
      <c r="R4" s="4">
        <v>2.9210707317415534E-2</v>
      </c>
      <c r="S4" s="42">
        <v>1417</v>
      </c>
      <c r="T4" s="4">
        <v>4.1191860465116276E-2</v>
      </c>
      <c r="U4" s="42">
        <v>664</v>
      </c>
      <c r="V4" s="5">
        <v>1.8023397844792486E-2</v>
      </c>
      <c r="W4" s="75">
        <f t="shared" ref="W4:W46" si="7">K4-Q4</f>
        <v>-1000</v>
      </c>
      <c r="X4" s="1">
        <f>M4-S4</f>
        <v>-746</v>
      </c>
      <c r="Y4" s="3">
        <f t="shared" ref="Y4:Y46" si="8">O4-U4</f>
        <v>-254</v>
      </c>
      <c r="Z4" s="68">
        <f t="shared" ref="Z4:Z46" si="9">AB4+AD4</f>
        <v>1216</v>
      </c>
      <c r="AA4" s="4">
        <v>1.7068822728485002E-2</v>
      </c>
      <c r="AB4" s="42">
        <v>740</v>
      </c>
      <c r="AC4" s="4">
        <v>2.1511627906976746E-2</v>
      </c>
      <c r="AD4" s="42">
        <v>476</v>
      </c>
      <c r="AE4" s="5">
        <v>1.2920387611628349E-2</v>
      </c>
      <c r="AF4" s="68">
        <f t="shared" ref="AF4:AF46" si="10">AH4+AJ4</f>
        <v>285</v>
      </c>
      <c r="AG4" s="4"/>
      <c r="AH4" s="42">
        <v>35</v>
      </c>
      <c r="AI4" s="4"/>
      <c r="AJ4" s="42">
        <v>250</v>
      </c>
      <c r="AK4" s="4"/>
      <c r="AL4" s="42">
        <f t="shared" ref="AL4:AL46" si="11">AN4+AP4</f>
        <v>427</v>
      </c>
      <c r="AM4" s="4"/>
      <c r="AN4" s="42">
        <v>75</v>
      </c>
      <c r="AO4" s="4"/>
      <c r="AP4" s="42">
        <v>352</v>
      </c>
      <c r="AQ4" s="4"/>
    </row>
    <row r="5" spans="1:43" x14ac:dyDescent="0.35">
      <c r="A5" s="35" t="s">
        <v>36</v>
      </c>
      <c r="B5" s="39">
        <f t="shared" si="0"/>
        <v>69633</v>
      </c>
      <c r="C5" s="1">
        <f t="shared" si="1"/>
        <v>29173</v>
      </c>
      <c r="D5" s="1">
        <f t="shared" si="2"/>
        <v>40460</v>
      </c>
      <c r="E5" s="39">
        <v>32812</v>
      </c>
      <c r="F5" s="1">
        <f t="shared" si="3"/>
        <v>16614</v>
      </c>
      <c r="G5" s="1">
        <v>16198</v>
      </c>
      <c r="H5" s="39">
        <v>36821</v>
      </c>
      <c r="I5" s="1">
        <f t="shared" si="4"/>
        <v>12559</v>
      </c>
      <c r="J5" s="3">
        <v>24262</v>
      </c>
      <c r="K5" s="68">
        <f t="shared" si="5"/>
        <v>1244</v>
      </c>
      <c r="L5" s="4">
        <f>K5/B4</f>
        <v>1.7763308201964815E-2</v>
      </c>
      <c r="M5" s="42">
        <v>828</v>
      </c>
      <c r="N5" s="4">
        <f t="shared" ref="N5:N47" si="12">M5/E4</f>
        <v>2.4983404743226117E-2</v>
      </c>
      <c r="O5" s="42">
        <v>416</v>
      </c>
      <c r="P5" s="5">
        <f t="shared" ref="P5:P47" si="13">O5/H4</f>
        <v>1.1276768772024938E-2</v>
      </c>
      <c r="Q5" s="68">
        <f t="shared" si="6"/>
        <v>1303</v>
      </c>
      <c r="R5" s="4">
        <f t="shared" ref="R5:R46" si="14">Q5/B4</f>
        <v>1.8605780214758966E-2</v>
      </c>
      <c r="S5" s="42">
        <v>917</v>
      </c>
      <c r="T5" s="4">
        <f t="shared" ref="T5:T47" si="15">S5/E4</f>
        <v>2.7668819021181582E-2</v>
      </c>
      <c r="U5" s="42">
        <v>386</v>
      </c>
      <c r="V5" s="5">
        <f t="shared" ref="V5:V47" si="16">U5/H4</f>
        <v>1.0463540254811603E-2</v>
      </c>
      <c r="W5" s="75">
        <f t="shared" si="7"/>
        <v>-59</v>
      </c>
      <c r="X5" s="1">
        <f t="shared" ref="X5:X46" si="17">M5-S5</f>
        <v>-89</v>
      </c>
      <c r="Y5" s="3">
        <f t="shared" si="8"/>
        <v>30</v>
      </c>
      <c r="Z5" s="68">
        <f t="shared" si="9"/>
        <v>423</v>
      </c>
      <c r="AA5" s="4">
        <f t="shared" ref="AA5:AA46" si="18">Z5/B4</f>
        <v>6.0400959561343389E-3</v>
      </c>
      <c r="AB5" s="42">
        <v>212</v>
      </c>
      <c r="AC5" s="4">
        <f t="shared" ref="AC5:AC47" si="19">AB5/E4</f>
        <v>6.3967171564781851E-3</v>
      </c>
      <c r="AD5" s="42">
        <v>211</v>
      </c>
      <c r="AE5" s="5">
        <f t="shared" ref="AE5:AE47" si="20">AD5/H4</f>
        <v>5.7197072377338032E-3</v>
      </c>
      <c r="AF5" s="68">
        <f t="shared" si="10"/>
        <v>319</v>
      </c>
      <c r="AG5" s="4">
        <f t="shared" ref="AG5:AG47" si="21">AF5/B4</f>
        <v>4.5550605437514281E-3</v>
      </c>
      <c r="AH5" s="42">
        <v>32</v>
      </c>
      <c r="AI5" s="4">
        <f t="shared" ref="AI5:AI47" si="22">AH5/E4</f>
        <v>9.6554221229859397E-4</v>
      </c>
      <c r="AJ5" s="42">
        <v>287</v>
      </c>
      <c r="AK5" s="4">
        <f t="shared" ref="AK5:AK47" si="23">AJ5/H4</f>
        <v>7.7798861480075903E-3</v>
      </c>
      <c r="AL5" s="42">
        <f t="shared" si="11"/>
        <v>367</v>
      </c>
      <c r="AM5" s="4">
        <f t="shared" ref="AM5:AM47" si="24">AL5/B4</f>
        <v>5.2404615033127709E-3</v>
      </c>
      <c r="AN5" s="42">
        <v>50</v>
      </c>
      <c r="AO5" s="4">
        <f t="shared" ref="AO5:AO47" si="25">AN5/E4</f>
        <v>1.508659706716553E-3</v>
      </c>
      <c r="AP5" s="42">
        <v>317</v>
      </c>
      <c r="AQ5" s="4">
        <f t="shared" ref="AQ5:AQ46" si="26">AP5/H4</f>
        <v>8.5931146652209276E-3</v>
      </c>
    </row>
    <row r="6" spans="1:43" x14ac:dyDescent="0.35">
      <c r="A6" s="35" t="s">
        <v>37</v>
      </c>
      <c r="B6" s="39">
        <f t="shared" si="0"/>
        <v>69177</v>
      </c>
      <c r="C6" s="1">
        <f t="shared" si="1"/>
        <v>29168</v>
      </c>
      <c r="D6" s="1">
        <f t="shared" si="2"/>
        <v>40009</v>
      </c>
      <c r="E6" s="39">
        <v>32581</v>
      </c>
      <c r="F6" s="1">
        <f t="shared" si="3"/>
        <v>16591</v>
      </c>
      <c r="G6" s="1">
        <v>15990</v>
      </c>
      <c r="H6" s="39">
        <v>36596</v>
      </c>
      <c r="I6" s="1">
        <f t="shared" si="4"/>
        <v>12577</v>
      </c>
      <c r="J6" s="3">
        <v>24019</v>
      </c>
      <c r="K6" s="68">
        <f t="shared" si="5"/>
        <v>1224</v>
      </c>
      <c r="L6" s="4">
        <f t="shared" ref="L6:L46" si="27">K6/B5</f>
        <v>1.7577872560423938E-2</v>
      </c>
      <c r="M6" s="42">
        <v>868</v>
      </c>
      <c r="N6" s="4">
        <f t="shared" si="12"/>
        <v>2.6453736437888578E-2</v>
      </c>
      <c r="O6" s="42">
        <v>356</v>
      </c>
      <c r="P6" s="5">
        <f t="shared" si="13"/>
        <v>9.6683957524238886E-3</v>
      </c>
      <c r="Q6" s="68">
        <f t="shared" si="6"/>
        <v>1603</v>
      </c>
      <c r="R6" s="4">
        <f t="shared" si="14"/>
        <v>2.302069421107808E-2</v>
      </c>
      <c r="S6" s="42">
        <v>1054</v>
      </c>
      <c r="T6" s="4">
        <f t="shared" si="15"/>
        <v>3.212239424600756E-2</v>
      </c>
      <c r="U6" s="42">
        <v>549</v>
      </c>
      <c r="V6" s="5">
        <f t="shared" si="16"/>
        <v>1.4909969854159311E-2</v>
      </c>
      <c r="W6" s="75">
        <f t="shared" si="7"/>
        <v>-379</v>
      </c>
      <c r="X6" s="1">
        <f t="shared" si="17"/>
        <v>-186</v>
      </c>
      <c r="Y6" s="3">
        <f t="shared" si="8"/>
        <v>-193</v>
      </c>
      <c r="Z6" s="68">
        <f t="shared" si="9"/>
        <v>689</v>
      </c>
      <c r="AA6" s="4">
        <f t="shared" si="18"/>
        <v>9.8947338187353705E-3</v>
      </c>
      <c r="AB6" s="42">
        <v>335</v>
      </c>
      <c r="AC6" s="4">
        <f t="shared" si="19"/>
        <v>1.0209679385590637E-2</v>
      </c>
      <c r="AD6" s="42">
        <v>354</v>
      </c>
      <c r="AE6" s="5">
        <f t="shared" si="20"/>
        <v>9.6140789223540923E-3</v>
      </c>
      <c r="AF6" s="68">
        <f t="shared" si="10"/>
        <v>223</v>
      </c>
      <c r="AG6" s="4">
        <f t="shared" si="21"/>
        <v>3.2025045596197205E-3</v>
      </c>
      <c r="AH6" s="42">
        <v>51</v>
      </c>
      <c r="AI6" s="4">
        <f t="shared" si="22"/>
        <v>1.5543093990003658E-3</v>
      </c>
      <c r="AJ6" s="42">
        <v>172</v>
      </c>
      <c r="AK6" s="4">
        <f t="shared" si="23"/>
        <v>4.6712473860025527E-3</v>
      </c>
      <c r="AL6" s="42">
        <f t="shared" si="11"/>
        <v>437</v>
      </c>
      <c r="AM6" s="4">
        <f t="shared" si="24"/>
        <v>6.2757600562951474E-3</v>
      </c>
      <c r="AN6" s="42">
        <v>84</v>
      </c>
      <c r="AO6" s="4">
        <f t="shared" si="25"/>
        <v>2.5600390101182496E-3</v>
      </c>
      <c r="AP6" s="42">
        <v>353</v>
      </c>
      <c r="AQ6" s="4">
        <f t="shared" si="26"/>
        <v>9.5869205073191924E-3</v>
      </c>
    </row>
    <row r="7" spans="1:43" x14ac:dyDescent="0.35">
      <c r="A7" s="35" t="s">
        <v>38</v>
      </c>
      <c r="B7" s="39">
        <f t="shared" si="0"/>
        <v>68535</v>
      </c>
      <c r="C7" s="1">
        <f t="shared" si="1"/>
        <v>29478</v>
      </c>
      <c r="D7" s="1">
        <f t="shared" si="2"/>
        <v>39057</v>
      </c>
      <c r="E7" s="39">
        <v>31407</v>
      </c>
      <c r="F7" s="1">
        <f t="shared" si="3"/>
        <v>16710</v>
      </c>
      <c r="G7" s="1">
        <v>14697</v>
      </c>
      <c r="H7" s="39">
        <v>37128</v>
      </c>
      <c r="I7" s="1">
        <f t="shared" si="4"/>
        <v>12768</v>
      </c>
      <c r="J7" s="3">
        <v>24360</v>
      </c>
      <c r="K7" s="68">
        <f t="shared" si="5"/>
        <v>1443</v>
      </c>
      <c r="L7" s="4">
        <f t="shared" si="27"/>
        <v>2.0859534238258381E-2</v>
      </c>
      <c r="M7" s="42">
        <v>663</v>
      </c>
      <c r="N7" s="4">
        <f t="shared" si="12"/>
        <v>2.034928332463706E-2</v>
      </c>
      <c r="O7" s="42">
        <v>780</v>
      </c>
      <c r="P7" s="5">
        <f t="shared" si="13"/>
        <v>2.131380478740846E-2</v>
      </c>
      <c r="Q7" s="68">
        <f t="shared" si="6"/>
        <v>1896</v>
      </c>
      <c r="R7" s="4">
        <f t="shared" si="14"/>
        <v>2.7407953510559867E-2</v>
      </c>
      <c r="S7" s="42">
        <v>1476</v>
      </c>
      <c r="T7" s="4">
        <f t="shared" si="15"/>
        <v>4.5302476903716887E-2</v>
      </c>
      <c r="U7" s="42">
        <v>420</v>
      </c>
      <c r="V7" s="5">
        <f t="shared" si="16"/>
        <v>1.1476664116296864E-2</v>
      </c>
      <c r="W7" s="75">
        <f t="shared" si="7"/>
        <v>-453</v>
      </c>
      <c r="X7" s="1">
        <f t="shared" si="17"/>
        <v>-813</v>
      </c>
      <c r="Y7" s="3">
        <f t="shared" si="8"/>
        <v>360</v>
      </c>
      <c r="Z7" s="68">
        <f t="shared" si="9"/>
        <v>467</v>
      </c>
      <c r="AA7" s="4">
        <f t="shared" si="18"/>
        <v>6.7507986758604741E-3</v>
      </c>
      <c r="AB7" s="42">
        <v>248</v>
      </c>
      <c r="AC7" s="4">
        <f t="shared" si="19"/>
        <v>7.6117982873453857E-3</v>
      </c>
      <c r="AD7" s="42">
        <v>219</v>
      </c>
      <c r="AE7" s="5">
        <f t="shared" si="20"/>
        <v>5.9842605749262211E-3</v>
      </c>
      <c r="AF7" s="68">
        <f t="shared" si="10"/>
        <v>395</v>
      </c>
      <c r="AG7" s="4">
        <f t="shared" si="21"/>
        <v>5.7099903146999725E-3</v>
      </c>
      <c r="AH7" s="42">
        <v>59</v>
      </c>
      <c r="AI7" s="4">
        <f t="shared" si="22"/>
        <v>1.8108713667474908E-3</v>
      </c>
      <c r="AJ7" s="42">
        <v>336</v>
      </c>
      <c r="AK7" s="4">
        <f t="shared" si="23"/>
        <v>9.181331293037491E-3</v>
      </c>
      <c r="AL7" s="42">
        <f t="shared" si="11"/>
        <v>513</v>
      </c>
      <c r="AM7" s="4">
        <f t="shared" si="24"/>
        <v>7.4157595732685716E-3</v>
      </c>
      <c r="AN7" s="42">
        <v>97</v>
      </c>
      <c r="AO7" s="4">
        <f t="shared" si="25"/>
        <v>2.9771952978729934E-3</v>
      </c>
      <c r="AP7" s="42">
        <v>416</v>
      </c>
      <c r="AQ7" s="4">
        <f t="shared" si="26"/>
        <v>1.1367362553284513E-2</v>
      </c>
    </row>
    <row r="8" spans="1:43" x14ac:dyDescent="0.35">
      <c r="A8" s="35" t="s">
        <v>39</v>
      </c>
      <c r="B8" s="39">
        <f t="shared" si="0"/>
        <v>67585</v>
      </c>
      <c r="C8" s="1">
        <f t="shared" si="1"/>
        <v>29446</v>
      </c>
      <c r="D8" s="1">
        <f t="shared" si="2"/>
        <v>38139</v>
      </c>
      <c r="E8" s="39">
        <v>30366</v>
      </c>
      <c r="F8" s="1">
        <f t="shared" si="3"/>
        <v>16550</v>
      </c>
      <c r="G8" s="1">
        <v>13816</v>
      </c>
      <c r="H8" s="39">
        <v>37219</v>
      </c>
      <c r="I8" s="1">
        <f t="shared" si="4"/>
        <v>12896</v>
      </c>
      <c r="J8" s="3">
        <v>24323</v>
      </c>
      <c r="K8" s="68">
        <f t="shared" si="5"/>
        <v>936</v>
      </c>
      <c r="L8" s="4">
        <f t="shared" si="27"/>
        <v>1.365725541694025E-2</v>
      </c>
      <c r="M8" s="42">
        <v>455</v>
      </c>
      <c r="N8" s="4">
        <f t="shared" si="12"/>
        <v>1.4487216225682173E-2</v>
      </c>
      <c r="O8" s="42">
        <v>481</v>
      </c>
      <c r="P8" s="5">
        <f t="shared" si="13"/>
        <v>1.2955182072829132E-2</v>
      </c>
      <c r="Q8" s="68">
        <f t="shared" si="6"/>
        <v>1594</v>
      </c>
      <c r="R8" s="4">
        <f t="shared" si="14"/>
        <v>2.3258189246370468E-2</v>
      </c>
      <c r="S8" s="42">
        <v>1075</v>
      </c>
      <c r="T8" s="4">
        <f t="shared" si="15"/>
        <v>3.4228038335402937E-2</v>
      </c>
      <c r="U8" s="42">
        <v>519</v>
      </c>
      <c r="V8" s="5">
        <f t="shared" si="16"/>
        <v>1.3978668390433097E-2</v>
      </c>
      <c r="W8" s="75">
        <f t="shared" si="7"/>
        <v>-658</v>
      </c>
      <c r="X8" s="1">
        <f t="shared" si="17"/>
        <v>-620</v>
      </c>
      <c r="Y8" s="3">
        <f t="shared" si="8"/>
        <v>-38</v>
      </c>
      <c r="Z8" s="68">
        <f t="shared" si="9"/>
        <v>684</v>
      </c>
      <c r="AA8" s="4">
        <f t="shared" si="18"/>
        <v>9.9803020354563357E-3</v>
      </c>
      <c r="AB8" s="42">
        <v>343</v>
      </c>
      <c r="AC8" s="4">
        <f t="shared" si="19"/>
        <v>1.09211322316681E-2</v>
      </c>
      <c r="AD8" s="42">
        <v>341</v>
      </c>
      <c r="AE8" s="5">
        <f t="shared" si="20"/>
        <v>9.1844430079724201E-3</v>
      </c>
      <c r="AF8" s="68">
        <f t="shared" si="10"/>
        <v>366</v>
      </c>
      <c r="AG8" s="4">
        <f t="shared" si="21"/>
        <v>5.3403370540599697E-3</v>
      </c>
      <c r="AH8" s="42">
        <v>39</v>
      </c>
      <c r="AI8" s="4">
        <f t="shared" si="22"/>
        <v>1.2417613907727578E-3</v>
      </c>
      <c r="AJ8" s="42">
        <v>327</v>
      </c>
      <c r="AK8" s="4">
        <f t="shared" si="23"/>
        <v>8.8073691014867485E-3</v>
      </c>
      <c r="AL8" s="42">
        <f t="shared" si="11"/>
        <v>499</v>
      </c>
      <c r="AM8" s="4">
        <f t="shared" si="24"/>
        <v>7.2809513387320345E-3</v>
      </c>
      <c r="AN8" s="42">
        <v>92</v>
      </c>
      <c r="AO8" s="4">
        <f t="shared" si="25"/>
        <v>2.9292832807972743E-3</v>
      </c>
      <c r="AP8" s="42">
        <v>407</v>
      </c>
      <c r="AQ8" s="4">
        <f t="shared" si="26"/>
        <v>1.0962077138547726E-2</v>
      </c>
    </row>
    <row r="9" spans="1:43" x14ac:dyDescent="0.35">
      <c r="A9" s="35" t="s">
        <v>40</v>
      </c>
      <c r="B9" s="39">
        <f t="shared" si="0"/>
        <v>66816</v>
      </c>
      <c r="C9" s="1">
        <f t="shared" si="1"/>
        <v>29207</v>
      </c>
      <c r="D9" s="1">
        <f t="shared" si="2"/>
        <v>37609</v>
      </c>
      <c r="E9" s="39">
        <v>29694</v>
      </c>
      <c r="F9" s="1">
        <f t="shared" si="3"/>
        <v>16362</v>
      </c>
      <c r="G9" s="1">
        <v>13332</v>
      </c>
      <c r="H9" s="39">
        <v>37122</v>
      </c>
      <c r="I9" s="1">
        <f t="shared" si="4"/>
        <v>12845</v>
      </c>
      <c r="J9" s="3">
        <v>24277</v>
      </c>
      <c r="K9" s="68">
        <f t="shared" si="5"/>
        <v>758</v>
      </c>
      <c r="L9" s="4">
        <f t="shared" si="27"/>
        <v>1.1215506399348967E-2</v>
      </c>
      <c r="M9" s="42">
        <v>300</v>
      </c>
      <c r="N9" s="4">
        <f t="shared" si="12"/>
        <v>9.879470460383323E-3</v>
      </c>
      <c r="O9" s="42">
        <v>458</v>
      </c>
      <c r="P9" s="5">
        <f t="shared" si="13"/>
        <v>1.2305542867890056E-2</v>
      </c>
      <c r="Q9" s="68">
        <f t="shared" si="6"/>
        <v>1057</v>
      </c>
      <c r="R9" s="4">
        <f t="shared" si="14"/>
        <v>1.5639564992232003E-2</v>
      </c>
      <c r="S9" s="42">
        <v>577</v>
      </c>
      <c r="T9" s="4">
        <f t="shared" si="15"/>
        <v>1.9001514852137257E-2</v>
      </c>
      <c r="U9" s="42">
        <v>480</v>
      </c>
      <c r="V9" s="5">
        <f t="shared" si="16"/>
        <v>1.2896638813509229E-2</v>
      </c>
      <c r="W9" s="75">
        <f t="shared" si="7"/>
        <v>-299</v>
      </c>
      <c r="X9" s="1">
        <f t="shared" si="17"/>
        <v>-277</v>
      </c>
      <c r="Y9" s="3">
        <f t="shared" si="8"/>
        <v>-22</v>
      </c>
      <c r="Z9" s="68">
        <f t="shared" si="9"/>
        <v>592</v>
      </c>
      <c r="AA9" s="4">
        <f t="shared" si="18"/>
        <v>8.7593400902567144E-3</v>
      </c>
      <c r="AB9" s="42">
        <v>274</v>
      </c>
      <c r="AC9" s="4">
        <f t="shared" si="19"/>
        <v>9.0232496871501013E-3</v>
      </c>
      <c r="AD9" s="42">
        <v>318</v>
      </c>
      <c r="AE9" s="5">
        <f t="shared" si="20"/>
        <v>8.5440232139498643E-3</v>
      </c>
      <c r="AF9" s="68">
        <f t="shared" si="10"/>
        <v>303</v>
      </c>
      <c r="AG9" s="4">
        <f t="shared" si="21"/>
        <v>4.4832433232226089E-3</v>
      </c>
      <c r="AH9" s="42">
        <v>47</v>
      </c>
      <c r="AI9" s="4">
        <f t="shared" si="22"/>
        <v>1.5477837054600539E-3</v>
      </c>
      <c r="AJ9" s="42">
        <v>256</v>
      </c>
      <c r="AK9" s="4">
        <f t="shared" si="23"/>
        <v>6.8782073672049226E-3</v>
      </c>
      <c r="AL9" s="42">
        <f t="shared" si="11"/>
        <v>413</v>
      </c>
      <c r="AM9" s="4">
        <f t="shared" si="24"/>
        <v>6.1108234075608493E-3</v>
      </c>
      <c r="AN9" s="42">
        <v>80</v>
      </c>
      <c r="AO9" s="4">
        <f t="shared" si="25"/>
        <v>2.6345254561022198E-3</v>
      </c>
      <c r="AP9" s="42">
        <v>333</v>
      </c>
      <c r="AQ9" s="4">
        <f t="shared" si="26"/>
        <v>8.9470431768720275E-3</v>
      </c>
    </row>
    <row r="10" spans="1:43" x14ac:dyDescent="0.35">
      <c r="A10" s="35" t="s">
        <v>41</v>
      </c>
      <c r="B10" s="39">
        <f t="shared" si="0"/>
        <v>66022</v>
      </c>
      <c r="C10" s="1">
        <f t="shared" si="1"/>
        <v>29073</v>
      </c>
      <c r="D10" s="1">
        <f t="shared" si="2"/>
        <v>36949</v>
      </c>
      <c r="E10" s="39">
        <v>29063</v>
      </c>
      <c r="F10" s="1">
        <f t="shared" si="3"/>
        <v>16183</v>
      </c>
      <c r="G10" s="1">
        <v>12880</v>
      </c>
      <c r="H10" s="39">
        <v>36959</v>
      </c>
      <c r="I10" s="1">
        <f t="shared" si="4"/>
        <v>12890</v>
      </c>
      <c r="J10" s="3">
        <v>24069</v>
      </c>
      <c r="K10" s="68">
        <f t="shared" si="5"/>
        <v>467</v>
      </c>
      <c r="L10" s="4">
        <f t="shared" si="27"/>
        <v>6.9893438697318008E-3</v>
      </c>
      <c r="M10" s="42">
        <v>175</v>
      </c>
      <c r="N10" s="4">
        <f t="shared" si="12"/>
        <v>5.8934464875058934E-3</v>
      </c>
      <c r="O10" s="42">
        <v>292</v>
      </c>
      <c r="P10" s="5">
        <f t="shared" si="13"/>
        <v>7.8659554980873882E-3</v>
      </c>
      <c r="Q10" s="68">
        <f t="shared" si="6"/>
        <v>1117</v>
      </c>
      <c r="R10" s="4">
        <f t="shared" si="14"/>
        <v>1.6717552681992338E-2</v>
      </c>
      <c r="S10" s="42">
        <v>643</v>
      </c>
      <c r="T10" s="4">
        <f t="shared" si="15"/>
        <v>2.1654206236950226E-2</v>
      </c>
      <c r="U10" s="42">
        <v>474</v>
      </c>
      <c r="V10" s="5">
        <f t="shared" si="16"/>
        <v>1.2768708582511718E-2</v>
      </c>
      <c r="W10" s="75">
        <f t="shared" si="7"/>
        <v>-650</v>
      </c>
      <c r="X10" s="1">
        <f t="shared" si="17"/>
        <v>-468</v>
      </c>
      <c r="Y10" s="3">
        <f t="shared" si="8"/>
        <v>-182</v>
      </c>
      <c r="Z10" s="68">
        <f t="shared" si="9"/>
        <v>554</v>
      </c>
      <c r="AA10" s="4">
        <f t="shared" si="18"/>
        <v>8.2914272030651347E-3</v>
      </c>
      <c r="AB10" s="42">
        <v>269</v>
      </c>
      <c r="AC10" s="4">
        <f t="shared" si="19"/>
        <v>9.0590691722233444E-3</v>
      </c>
      <c r="AD10" s="42">
        <v>285</v>
      </c>
      <c r="AE10" s="5">
        <f t="shared" si="20"/>
        <v>7.677388071763375E-3</v>
      </c>
      <c r="AF10" s="68">
        <f t="shared" si="10"/>
        <v>303</v>
      </c>
      <c r="AG10" s="4">
        <f t="shared" si="21"/>
        <v>4.5348419540229886E-3</v>
      </c>
      <c r="AH10" s="42">
        <v>39</v>
      </c>
      <c r="AI10" s="4">
        <f t="shared" si="22"/>
        <v>1.3133966457870277E-3</v>
      </c>
      <c r="AJ10" s="42">
        <v>264</v>
      </c>
      <c r="AK10" s="4">
        <f t="shared" si="23"/>
        <v>7.1116857927913365E-3</v>
      </c>
      <c r="AL10" s="42">
        <f t="shared" si="11"/>
        <v>416</v>
      </c>
      <c r="AM10" s="4">
        <f t="shared" si="24"/>
        <v>6.2260536398467429E-3</v>
      </c>
      <c r="AN10" s="42">
        <v>61</v>
      </c>
      <c r="AO10" s="4">
        <f t="shared" si="25"/>
        <v>2.0542870613591969E-3</v>
      </c>
      <c r="AP10" s="42">
        <v>355</v>
      </c>
      <c r="AQ10" s="4">
        <f t="shared" si="26"/>
        <v>9.5630623350035013E-3</v>
      </c>
    </row>
    <row r="11" spans="1:43" x14ac:dyDescent="0.35">
      <c r="A11" s="35" t="s">
        <v>42</v>
      </c>
      <c r="B11" s="39">
        <f t="shared" si="0"/>
        <v>65758</v>
      </c>
      <c r="C11" s="1">
        <f t="shared" si="1"/>
        <v>29200</v>
      </c>
      <c r="D11" s="1">
        <f t="shared" si="2"/>
        <v>36558</v>
      </c>
      <c r="E11" s="39">
        <v>28649</v>
      </c>
      <c r="F11" s="1">
        <f t="shared" si="3"/>
        <v>16213</v>
      </c>
      <c r="G11" s="1">
        <v>12436</v>
      </c>
      <c r="H11" s="39">
        <v>37109</v>
      </c>
      <c r="I11" s="1">
        <f t="shared" si="4"/>
        <v>12987</v>
      </c>
      <c r="J11" s="3">
        <v>24122</v>
      </c>
      <c r="K11" s="68">
        <f t="shared" si="5"/>
        <v>686</v>
      </c>
      <c r="L11" s="4">
        <f t="shared" si="27"/>
        <v>1.039047590197207E-2</v>
      </c>
      <c r="M11" s="42">
        <v>252</v>
      </c>
      <c r="N11" s="4">
        <f t="shared" si="12"/>
        <v>8.6708185665622956E-3</v>
      </c>
      <c r="O11" s="42">
        <v>434</v>
      </c>
      <c r="P11" s="5">
        <f t="shared" si="13"/>
        <v>1.1742741957304039E-2</v>
      </c>
      <c r="Q11" s="68">
        <f t="shared" si="6"/>
        <v>965</v>
      </c>
      <c r="R11" s="4">
        <f t="shared" si="14"/>
        <v>1.4616340007876162E-2</v>
      </c>
      <c r="S11" s="42">
        <v>553</v>
      </c>
      <c r="T11" s="4">
        <f t="shared" si="15"/>
        <v>1.9027629632178369E-2</v>
      </c>
      <c r="U11" s="42">
        <v>412</v>
      </c>
      <c r="V11" s="5">
        <f t="shared" si="16"/>
        <v>1.1147487756703375E-2</v>
      </c>
      <c r="W11" s="75">
        <f t="shared" si="7"/>
        <v>-279</v>
      </c>
      <c r="X11" s="1">
        <f t="shared" si="17"/>
        <v>-301</v>
      </c>
      <c r="Y11" s="3">
        <f t="shared" si="8"/>
        <v>22</v>
      </c>
      <c r="Z11" s="68">
        <f t="shared" si="9"/>
        <v>418</v>
      </c>
      <c r="AA11" s="4">
        <f t="shared" si="18"/>
        <v>6.3312229256914359E-3</v>
      </c>
      <c r="AB11" s="42">
        <v>222</v>
      </c>
      <c r="AC11" s="4">
        <f t="shared" si="19"/>
        <v>7.6385782610191655E-3</v>
      </c>
      <c r="AD11" s="42">
        <v>196</v>
      </c>
      <c r="AE11" s="5">
        <f t="shared" si="20"/>
        <v>5.3031737871695661E-3</v>
      </c>
      <c r="AF11" s="68">
        <f t="shared" si="10"/>
        <v>233</v>
      </c>
      <c r="AG11" s="4">
        <f t="shared" si="21"/>
        <v>3.5291266547514467E-3</v>
      </c>
      <c r="AH11" s="42">
        <v>29</v>
      </c>
      <c r="AI11" s="4">
        <f t="shared" si="22"/>
        <v>9.9783229535835944E-4</v>
      </c>
      <c r="AJ11" s="42">
        <v>204</v>
      </c>
      <c r="AK11" s="4">
        <f t="shared" si="23"/>
        <v>5.5196298601152627E-3</v>
      </c>
      <c r="AL11" s="42">
        <f t="shared" si="11"/>
        <v>325</v>
      </c>
      <c r="AM11" s="4">
        <f t="shared" si="24"/>
        <v>4.9226015570567388E-3</v>
      </c>
      <c r="AN11" s="42">
        <v>55</v>
      </c>
      <c r="AO11" s="4">
        <f t="shared" si="25"/>
        <v>1.8924405601624058E-3</v>
      </c>
      <c r="AP11" s="42">
        <v>270</v>
      </c>
      <c r="AQ11" s="4">
        <f t="shared" si="26"/>
        <v>7.3053924619172596E-3</v>
      </c>
    </row>
    <row r="12" spans="1:43" x14ac:dyDescent="0.35">
      <c r="A12" s="35" t="s">
        <v>43</v>
      </c>
      <c r="B12" s="39">
        <f t="shared" si="0"/>
        <v>65285</v>
      </c>
      <c r="C12" s="1">
        <f t="shared" si="1"/>
        <v>29076</v>
      </c>
      <c r="D12" s="1">
        <f t="shared" si="2"/>
        <v>36209</v>
      </c>
      <c r="E12" s="39">
        <v>28239</v>
      </c>
      <c r="F12" s="1">
        <f t="shared" si="3"/>
        <v>16032</v>
      </c>
      <c r="G12" s="1">
        <v>12207</v>
      </c>
      <c r="H12" s="39">
        <v>37046</v>
      </c>
      <c r="I12" s="1">
        <f t="shared" si="4"/>
        <v>13044</v>
      </c>
      <c r="J12" s="3">
        <v>24002</v>
      </c>
      <c r="K12" s="68">
        <f t="shared" si="5"/>
        <v>454</v>
      </c>
      <c r="L12" s="4">
        <f t="shared" si="27"/>
        <v>6.9041029228382855E-3</v>
      </c>
      <c r="M12" s="42">
        <v>195</v>
      </c>
      <c r="N12" s="4">
        <f t="shared" si="12"/>
        <v>6.8065202973925792E-3</v>
      </c>
      <c r="O12" s="42">
        <v>259</v>
      </c>
      <c r="P12" s="5">
        <f t="shared" si="13"/>
        <v>6.9794389501199169E-3</v>
      </c>
      <c r="Q12" s="68">
        <f t="shared" si="6"/>
        <v>902</v>
      </c>
      <c r="R12" s="4">
        <f t="shared" si="14"/>
        <v>1.3716962194713951E-2</v>
      </c>
      <c r="S12" s="42">
        <v>506</v>
      </c>
      <c r="T12" s="4">
        <f t="shared" si="15"/>
        <v>1.7662047540926384E-2</v>
      </c>
      <c r="U12" s="42">
        <v>396</v>
      </c>
      <c r="V12" s="5">
        <f t="shared" si="16"/>
        <v>1.0671265730685279E-2</v>
      </c>
      <c r="W12" s="75">
        <f t="shared" si="7"/>
        <v>-448</v>
      </c>
      <c r="X12" s="1">
        <f t="shared" si="17"/>
        <v>-311</v>
      </c>
      <c r="Y12" s="3">
        <f t="shared" si="8"/>
        <v>-137</v>
      </c>
      <c r="Z12" s="68">
        <f t="shared" si="9"/>
        <v>464</v>
      </c>
      <c r="AA12" s="4">
        <f t="shared" si="18"/>
        <v>7.0561756744426532E-3</v>
      </c>
      <c r="AB12" s="42">
        <v>245</v>
      </c>
      <c r="AC12" s="4">
        <f t="shared" si="19"/>
        <v>8.5517819121086244E-3</v>
      </c>
      <c r="AD12" s="42">
        <v>219</v>
      </c>
      <c r="AE12" s="5">
        <f t="shared" si="20"/>
        <v>5.901533320757768E-3</v>
      </c>
      <c r="AF12" s="68">
        <f t="shared" si="10"/>
        <v>251</v>
      </c>
      <c r="AG12" s="4">
        <f t="shared" si="21"/>
        <v>3.817026065269625E-3</v>
      </c>
      <c r="AH12" s="42">
        <v>47</v>
      </c>
      <c r="AI12" s="4">
        <f t="shared" si="22"/>
        <v>1.6405459178330832E-3</v>
      </c>
      <c r="AJ12" s="42">
        <v>204</v>
      </c>
      <c r="AK12" s="4">
        <f t="shared" si="23"/>
        <v>5.4973187097469619E-3</v>
      </c>
      <c r="AL12" s="42">
        <f t="shared" si="11"/>
        <v>333</v>
      </c>
      <c r="AM12" s="4">
        <f t="shared" si="24"/>
        <v>5.0640226284254389E-3</v>
      </c>
      <c r="AN12" s="42">
        <v>68</v>
      </c>
      <c r="AO12" s="4">
        <f t="shared" si="25"/>
        <v>2.3735557960138224E-3</v>
      </c>
      <c r="AP12" s="42">
        <v>265</v>
      </c>
      <c r="AQ12" s="4">
        <f t="shared" si="26"/>
        <v>7.1411247945242394E-3</v>
      </c>
    </row>
    <row r="13" spans="1:43" x14ac:dyDescent="0.35">
      <c r="A13" s="35" t="s">
        <v>44</v>
      </c>
      <c r="B13" s="39">
        <f t="shared" si="0"/>
        <v>64372</v>
      </c>
      <c r="C13" s="1">
        <f t="shared" si="1"/>
        <v>28703</v>
      </c>
      <c r="D13" s="1">
        <f t="shared" si="2"/>
        <v>35669</v>
      </c>
      <c r="E13" s="39">
        <v>27679</v>
      </c>
      <c r="F13" s="1">
        <f t="shared" si="3"/>
        <v>15731</v>
      </c>
      <c r="G13" s="1">
        <v>11948</v>
      </c>
      <c r="H13" s="39">
        <v>36693</v>
      </c>
      <c r="I13" s="1">
        <f t="shared" si="4"/>
        <v>12972</v>
      </c>
      <c r="J13" s="3">
        <v>23721</v>
      </c>
      <c r="K13" s="68">
        <f t="shared" si="5"/>
        <v>492</v>
      </c>
      <c r="L13" s="4">
        <f t="shared" si="27"/>
        <v>7.5361874856398866E-3</v>
      </c>
      <c r="M13" s="42">
        <v>190</v>
      </c>
      <c r="N13" s="4">
        <f t="shared" si="12"/>
        <v>6.7282835794468645E-3</v>
      </c>
      <c r="O13" s="42">
        <v>302</v>
      </c>
      <c r="P13" s="5">
        <f t="shared" si="13"/>
        <v>8.1520272094153211E-3</v>
      </c>
      <c r="Q13" s="68">
        <f t="shared" si="6"/>
        <v>1372</v>
      </c>
      <c r="R13" s="4">
        <f t="shared" si="14"/>
        <v>2.1015547216052692E-2</v>
      </c>
      <c r="S13" s="42">
        <v>704</v>
      </c>
      <c r="T13" s="4">
        <f t="shared" si="15"/>
        <v>2.4930061262792593E-2</v>
      </c>
      <c r="U13" s="42">
        <v>668</v>
      </c>
      <c r="V13" s="5">
        <f t="shared" si="16"/>
        <v>1.8031636344004752E-2</v>
      </c>
      <c r="W13" s="75">
        <f t="shared" si="7"/>
        <v>-880</v>
      </c>
      <c r="X13" s="1">
        <f t="shared" si="17"/>
        <v>-514</v>
      </c>
      <c r="Y13" s="3">
        <f t="shared" si="8"/>
        <v>-366</v>
      </c>
      <c r="Z13" s="68">
        <f t="shared" si="9"/>
        <v>934</v>
      </c>
      <c r="AA13" s="4">
        <f t="shared" si="18"/>
        <v>1.43065022593245E-2</v>
      </c>
      <c r="AB13" s="42">
        <v>438</v>
      </c>
      <c r="AC13" s="4">
        <f t="shared" si="19"/>
        <v>1.5510464251566982E-2</v>
      </c>
      <c r="AD13" s="42">
        <v>496</v>
      </c>
      <c r="AE13" s="5">
        <f t="shared" si="20"/>
        <v>1.3388759920099335E-2</v>
      </c>
      <c r="AF13" s="68">
        <f t="shared" si="10"/>
        <v>255</v>
      </c>
      <c r="AG13" s="4">
        <f t="shared" si="21"/>
        <v>3.9059508309718925E-3</v>
      </c>
      <c r="AH13" s="42">
        <v>24</v>
      </c>
      <c r="AI13" s="4">
        <f t="shared" si="22"/>
        <v>8.4988845214065654E-4</v>
      </c>
      <c r="AJ13" s="42">
        <v>231</v>
      </c>
      <c r="AK13" s="4">
        <f t="shared" si="23"/>
        <v>6.2354910111752952E-3</v>
      </c>
      <c r="AL13" s="42">
        <f t="shared" si="11"/>
        <v>441</v>
      </c>
      <c r="AM13" s="4">
        <f t="shared" si="24"/>
        <v>6.7549973194455078E-3</v>
      </c>
      <c r="AN13" s="42">
        <v>51</v>
      </c>
      <c r="AO13" s="4">
        <f t="shared" si="25"/>
        <v>1.8060129607988952E-3</v>
      </c>
      <c r="AP13" s="42">
        <v>390</v>
      </c>
      <c r="AQ13" s="4">
        <f t="shared" si="26"/>
        <v>1.052745235652972E-2</v>
      </c>
    </row>
    <row r="14" spans="1:43" x14ac:dyDescent="0.35">
      <c r="A14" s="35" t="s">
        <v>45</v>
      </c>
      <c r="B14" s="39">
        <f t="shared" si="0"/>
        <v>63775</v>
      </c>
      <c r="C14" s="1">
        <f t="shared" si="1"/>
        <v>28264</v>
      </c>
      <c r="D14" s="1">
        <f t="shared" si="2"/>
        <v>35511</v>
      </c>
      <c r="E14" s="39">
        <v>27231</v>
      </c>
      <c r="F14" s="1">
        <f t="shared" si="3"/>
        <v>15309</v>
      </c>
      <c r="G14" s="1">
        <v>11922</v>
      </c>
      <c r="H14" s="39">
        <v>36544</v>
      </c>
      <c r="I14" s="1">
        <f t="shared" si="4"/>
        <v>12955</v>
      </c>
      <c r="J14" s="3">
        <v>23589</v>
      </c>
      <c r="K14" s="68">
        <f t="shared" si="5"/>
        <v>781</v>
      </c>
      <c r="L14" s="4">
        <f t="shared" si="27"/>
        <v>1.2132604237867396E-2</v>
      </c>
      <c r="M14" s="42">
        <v>318</v>
      </c>
      <c r="N14" s="4">
        <f t="shared" si="12"/>
        <v>1.1488854366125944E-2</v>
      </c>
      <c r="O14" s="42">
        <v>463</v>
      </c>
      <c r="P14" s="5">
        <f t="shared" si="13"/>
        <v>1.2618210557872074E-2</v>
      </c>
      <c r="Q14" s="68">
        <f t="shared" si="6"/>
        <v>1286</v>
      </c>
      <c r="R14" s="4">
        <f t="shared" si="14"/>
        <v>1.9977630025476915E-2</v>
      </c>
      <c r="S14" s="42">
        <v>731</v>
      </c>
      <c r="T14" s="4">
        <f t="shared" si="15"/>
        <v>2.6409913652949889E-2</v>
      </c>
      <c r="U14" s="42">
        <v>555</v>
      </c>
      <c r="V14" s="5">
        <f t="shared" si="16"/>
        <v>1.5125500776714904E-2</v>
      </c>
      <c r="W14" s="75">
        <f t="shared" si="7"/>
        <v>-505</v>
      </c>
      <c r="X14" s="1">
        <f t="shared" si="17"/>
        <v>-413</v>
      </c>
      <c r="Y14" s="3">
        <f t="shared" si="8"/>
        <v>-92</v>
      </c>
      <c r="Z14" s="68">
        <f t="shared" si="9"/>
        <v>668</v>
      </c>
      <c r="AA14" s="4">
        <f t="shared" si="18"/>
        <v>1.0377182625986454E-2</v>
      </c>
      <c r="AB14" s="42">
        <v>306</v>
      </c>
      <c r="AC14" s="4">
        <f t="shared" si="19"/>
        <v>1.1055312691932512E-2</v>
      </c>
      <c r="AD14" s="42">
        <v>362</v>
      </c>
      <c r="AE14" s="5">
        <f t="shared" si="20"/>
        <v>9.8656419480554879E-3</v>
      </c>
      <c r="AF14" s="68">
        <f t="shared" si="10"/>
        <v>324</v>
      </c>
      <c r="AG14" s="4">
        <f t="shared" si="21"/>
        <v>5.0332442676940285E-3</v>
      </c>
      <c r="AH14" s="42">
        <v>42</v>
      </c>
      <c r="AI14" s="4">
        <f t="shared" si="22"/>
        <v>1.5173958596770114E-3</v>
      </c>
      <c r="AJ14" s="42">
        <v>282</v>
      </c>
      <c r="AK14" s="4">
        <f t="shared" si="23"/>
        <v>7.6853895838443296E-3</v>
      </c>
      <c r="AL14" s="42">
        <f t="shared" si="11"/>
        <v>518</v>
      </c>
      <c r="AM14" s="4">
        <f t="shared" si="24"/>
        <v>8.0469769464984776E-3</v>
      </c>
      <c r="AN14" s="42">
        <v>77</v>
      </c>
      <c r="AO14" s="4">
        <f t="shared" si="25"/>
        <v>2.7818924094078542E-3</v>
      </c>
      <c r="AP14" s="42">
        <v>441</v>
      </c>
      <c r="AQ14" s="4">
        <f t="shared" si="26"/>
        <v>1.2018641157714005E-2</v>
      </c>
    </row>
    <row r="15" spans="1:43" x14ac:dyDescent="0.35">
      <c r="A15" s="35" t="s">
        <v>46</v>
      </c>
      <c r="B15" s="39">
        <f t="shared" si="0"/>
        <v>64045</v>
      </c>
      <c r="C15" s="1">
        <f t="shared" si="1"/>
        <v>28336</v>
      </c>
      <c r="D15" s="1">
        <f t="shared" si="2"/>
        <v>35709</v>
      </c>
      <c r="E15" s="39">
        <v>27166</v>
      </c>
      <c r="F15" s="1">
        <f t="shared" si="3"/>
        <v>15263</v>
      </c>
      <c r="G15" s="1">
        <v>11903</v>
      </c>
      <c r="H15" s="39">
        <v>36879</v>
      </c>
      <c r="I15" s="1">
        <f t="shared" si="4"/>
        <v>13073</v>
      </c>
      <c r="J15" s="3">
        <v>23806</v>
      </c>
      <c r="K15" s="68">
        <f t="shared" si="5"/>
        <v>1096</v>
      </c>
      <c r="L15" s="4">
        <f t="shared" si="27"/>
        <v>1.7185417483339866E-2</v>
      </c>
      <c r="M15" s="42">
        <v>398</v>
      </c>
      <c r="N15" s="4">
        <f t="shared" si="12"/>
        <v>1.4615695347214571E-2</v>
      </c>
      <c r="O15" s="42">
        <v>698</v>
      </c>
      <c r="P15" s="5">
        <f t="shared" si="13"/>
        <v>1.9100262697022766E-2</v>
      </c>
      <c r="Q15" s="68">
        <f t="shared" si="6"/>
        <v>1070</v>
      </c>
      <c r="R15" s="4">
        <f t="shared" si="14"/>
        <v>1.6777734221873775E-2</v>
      </c>
      <c r="S15" s="42">
        <v>614</v>
      </c>
      <c r="T15" s="4">
        <f t="shared" si="15"/>
        <v>2.254783151555213E-2</v>
      </c>
      <c r="U15" s="42">
        <v>456</v>
      </c>
      <c r="V15" s="5">
        <f t="shared" si="16"/>
        <v>1.2478108581436076E-2</v>
      </c>
      <c r="W15" s="75">
        <f t="shared" si="7"/>
        <v>26</v>
      </c>
      <c r="X15" s="1">
        <f t="shared" si="17"/>
        <v>-216</v>
      </c>
      <c r="Y15" s="3">
        <f t="shared" si="8"/>
        <v>242</v>
      </c>
      <c r="Z15" s="68">
        <f t="shared" si="9"/>
        <v>572</v>
      </c>
      <c r="AA15" s="4">
        <f t="shared" si="18"/>
        <v>8.9690317522540183E-3</v>
      </c>
      <c r="AB15" s="42">
        <v>322</v>
      </c>
      <c r="AC15" s="4">
        <f t="shared" si="19"/>
        <v>1.1824758547243949E-2</v>
      </c>
      <c r="AD15" s="42">
        <v>250</v>
      </c>
      <c r="AE15" s="5">
        <f t="shared" si="20"/>
        <v>6.8410683012259197E-3</v>
      </c>
      <c r="AF15" s="68">
        <f t="shared" si="10"/>
        <v>320</v>
      </c>
      <c r="AG15" s="4">
        <f t="shared" si="21"/>
        <v>5.017640141121129E-3</v>
      </c>
      <c r="AH15" s="42">
        <v>51</v>
      </c>
      <c r="AI15" s="4">
        <f t="shared" si="22"/>
        <v>1.872865484190812E-3</v>
      </c>
      <c r="AJ15" s="42">
        <v>269</v>
      </c>
      <c r="AK15" s="4">
        <f t="shared" si="23"/>
        <v>7.3609894921190895E-3</v>
      </c>
      <c r="AL15" s="42">
        <f t="shared" si="11"/>
        <v>484</v>
      </c>
      <c r="AM15" s="4">
        <f t="shared" si="24"/>
        <v>7.589180713445708E-3</v>
      </c>
      <c r="AN15" s="42">
        <v>87</v>
      </c>
      <c r="AO15" s="4">
        <f t="shared" si="25"/>
        <v>3.1948881789137379E-3</v>
      </c>
      <c r="AP15" s="42">
        <v>397</v>
      </c>
      <c r="AQ15" s="4">
        <f t="shared" si="26"/>
        <v>1.0863616462346759E-2</v>
      </c>
    </row>
    <row r="16" spans="1:43" x14ac:dyDescent="0.35">
      <c r="A16" s="35" t="s">
        <v>47</v>
      </c>
      <c r="B16" s="39">
        <f t="shared" si="0"/>
        <v>63981</v>
      </c>
      <c r="C16" s="1">
        <f t="shared" si="1"/>
        <v>28323</v>
      </c>
      <c r="D16" s="1">
        <f t="shared" si="2"/>
        <v>35658</v>
      </c>
      <c r="E16" s="39">
        <v>27143</v>
      </c>
      <c r="F16" s="1">
        <f t="shared" si="3"/>
        <v>15233</v>
      </c>
      <c r="G16" s="1">
        <v>11910</v>
      </c>
      <c r="H16" s="39">
        <v>36838</v>
      </c>
      <c r="I16" s="1">
        <f t="shared" si="4"/>
        <v>13090</v>
      </c>
      <c r="J16" s="3">
        <v>23748</v>
      </c>
      <c r="K16" s="68">
        <f t="shared" si="5"/>
        <v>995</v>
      </c>
      <c r="L16" s="4">
        <f t="shared" si="27"/>
        <v>1.5535951284253259E-2</v>
      </c>
      <c r="M16" s="42">
        <v>479</v>
      </c>
      <c r="N16" s="4">
        <f t="shared" si="12"/>
        <v>1.7632334535816831E-2</v>
      </c>
      <c r="O16" s="42">
        <v>516</v>
      </c>
      <c r="P16" s="5">
        <f t="shared" si="13"/>
        <v>1.3991702594972748E-2</v>
      </c>
      <c r="Q16" s="68">
        <f t="shared" si="6"/>
        <v>1023</v>
      </c>
      <c r="R16" s="4">
        <f t="shared" si="14"/>
        <v>1.5973143883207121E-2</v>
      </c>
      <c r="S16" s="42">
        <v>527</v>
      </c>
      <c r="T16" s="4">
        <f t="shared" si="15"/>
        <v>1.9399249061326659E-2</v>
      </c>
      <c r="U16" s="42">
        <v>496</v>
      </c>
      <c r="V16" s="5">
        <f t="shared" si="16"/>
        <v>1.3449388540904038E-2</v>
      </c>
      <c r="W16" s="75">
        <f t="shared" si="7"/>
        <v>-28</v>
      </c>
      <c r="X16" s="1">
        <f t="shared" si="17"/>
        <v>-48</v>
      </c>
      <c r="Y16" s="3">
        <f t="shared" si="8"/>
        <v>20</v>
      </c>
      <c r="Z16" s="68">
        <f t="shared" si="9"/>
        <v>644</v>
      </c>
      <c r="AA16" s="4">
        <f t="shared" si="18"/>
        <v>1.0055429775938794E-2</v>
      </c>
      <c r="AB16" s="42">
        <v>341</v>
      </c>
      <c r="AC16" s="4">
        <f t="shared" si="19"/>
        <v>1.2552455274976074E-2</v>
      </c>
      <c r="AD16" s="42">
        <v>303</v>
      </c>
      <c r="AE16" s="5">
        <f t="shared" si="20"/>
        <v>8.216057919140974E-3</v>
      </c>
      <c r="AF16" s="68">
        <f t="shared" si="10"/>
        <v>387</v>
      </c>
      <c r="AG16" s="4">
        <f t="shared" si="21"/>
        <v>6.0426262783980014E-3</v>
      </c>
      <c r="AH16" s="42">
        <v>70</v>
      </c>
      <c r="AI16" s="4">
        <f t="shared" si="22"/>
        <v>2.5767503497018331E-3</v>
      </c>
      <c r="AJ16" s="42">
        <v>317</v>
      </c>
      <c r="AK16" s="4">
        <f t="shared" si="23"/>
        <v>8.5956777569890716E-3</v>
      </c>
      <c r="AL16" s="42">
        <f t="shared" si="11"/>
        <v>563</v>
      </c>
      <c r="AM16" s="4">
        <f t="shared" si="24"/>
        <v>8.7906940432508386E-3</v>
      </c>
      <c r="AN16" s="42">
        <v>95</v>
      </c>
      <c r="AO16" s="4">
        <f t="shared" si="25"/>
        <v>3.4970183317382022E-3</v>
      </c>
      <c r="AP16" s="42">
        <v>468</v>
      </c>
      <c r="AQ16" s="4">
        <f t="shared" si="26"/>
        <v>1.2690148865207841E-2</v>
      </c>
    </row>
    <row r="17" spans="1:43" x14ac:dyDescent="0.35">
      <c r="A17" s="35" t="s">
        <v>48</v>
      </c>
      <c r="B17" s="39">
        <f t="shared" si="0"/>
        <v>63568</v>
      </c>
      <c r="C17" s="1">
        <f t="shared" si="1"/>
        <v>28068</v>
      </c>
      <c r="D17" s="1">
        <f t="shared" si="2"/>
        <v>35500</v>
      </c>
      <c r="E17" s="39">
        <v>26921</v>
      </c>
      <c r="F17" s="1">
        <f t="shared" si="3"/>
        <v>15119</v>
      </c>
      <c r="G17" s="1">
        <v>11802</v>
      </c>
      <c r="H17" s="39">
        <v>36647</v>
      </c>
      <c r="I17" s="1">
        <f t="shared" si="4"/>
        <v>12949</v>
      </c>
      <c r="J17" s="3">
        <v>23698</v>
      </c>
      <c r="K17" s="68">
        <f t="shared" si="5"/>
        <v>875</v>
      </c>
      <c r="L17" s="4">
        <f t="shared" si="27"/>
        <v>1.3675935043215955E-2</v>
      </c>
      <c r="M17" s="42">
        <v>397</v>
      </c>
      <c r="N17" s="4">
        <f t="shared" si="12"/>
        <v>1.4626238809269426E-2</v>
      </c>
      <c r="O17" s="42">
        <v>478</v>
      </c>
      <c r="P17" s="5">
        <f t="shared" si="13"/>
        <v>1.2975731581519084E-2</v>
      </c>
      <c r="Q17" s="68">
        <f t="shared" si="6"/>
        <v>1124</v>
      </c>
      <c r="R17" s="4">
        <f t="shared" si="14"/>
        <v>1.7567715415513982E-2</v>
      </c>
      <c r="S17" s="42">
        <v>530</v>
      </c>
      <c r="T17" s="4">
        <f t="shared" si="15"/>
        <v>1.9526213019931474E-2</v>
      </c>
      <c r="U17" s="42">
        <v>594</v>
      </c>
      <c r="V17" s="5">
        <f t="shared" si="16"/>
        <v>1.6124653890004885E-2</v>
      </c>
      <c r="W17" s="75">
        <f t="shared" si="7"/>
        <v>-249</v>
      </c>
      <c r="X17" s="1">
        <f t="shared" si="17"/>
        <v>-133</v>
      </c>
      <c r="Y17" s="3">
        <f t="shared" si="8"/>
        <v>-116</v>
      </c>
      <c r="Z17" s="68">
        <f t="shared" si="9"/>
        <v>729</v>
      </c>
      <c r="AA17" s="4">
        <f t="shared" si="18"/>
        <v>1.1394007596005064E-2</v>
      </c>
      <c r="AB17" s="42">
        <v>322</v>
      </c>
      <c r="AC17" s="4">
        <f t="shared" si="19"/>
        <v>1.1863095457392329E-2</v>
      </c>
      <c r="AD17" s="42">
        <v>407</v>
      </c>
      <c r="AE17" s="5">
        <f t="shared" si="20"/>
        <v>1.1048373961670015E-2</v>
      </c>
      <c r="AF17" s="68">
        <f t="shared" si="10"/>
        <v>402</v>
      </c>
      <c r="AG17" s="4">
        <f t="shared" si="21"/>
        <v>6.2831152998546443E-3</v>
      </c>
      <c r="AH17" s="42">
        <v>84</v>
      </c>
      <c r="AI17" s="4">
        <f t="shared" si="22"/>
        <v>3.0947205541023469E-3</v>
      </c>
      <c r="AJ17" s="42">
        <v>318</v>
      </c>
      <c r="AK17" s="4">
        <f t="shared" si="23"/>
        <v>8.6323904663662514E-3</v>
      </c>
      <c r="AL17" s="42">
        <f t="shared" si="11"/>
        <v>507</v>
      </c>
      <c r="AM17" s="4">
        <f t="shared" si="24"/>
        <v>7.9242275050405587E-3</v>
      </c>
      <c r="AN17" s="42">
        <v>73</v>
      </c>
      <c r="AO17" s="4">
        <f t="shared" si="25"/>
        <v>2.689459529160373E-3</v>
      </c>
      <c r="AP17" s="42">
        <v>434</v>
      </c>
      <c r="AQ17" s="4">
        <f t="shared" si="26"/>
        <v>1.1781312774852054E-2</v>
      </c>
    </row>
    <row r="18" spans="1:43" x14ac:dyDescent="0.35">
      <c r="A18" s="35" t="s">
        <v>49</v>
      </c>
      <c r="B18" s="39">
        <f t="shared" si="0"/>
        <v>63788</v>
      </c>
      <c r="C18" s="1">
        <f t="shared" si="1"/>
        <v>28103</v>
      </c>
      <c r="D18" s="1">
        <f t="shared" si="2"/>
        <v>35685</v>
      </c>
      <c r="E18" s="39">
        <v>27034</v>
      </c>
      <c r="F18" s="1">
        <f t="shared" si="3"/>
        <v>15163</v>
      </c>
      <c r="G18" s="1">
        <v>11871</v>
      </c>
      <c r="H18" s="39">
        <v>36754</v>
      </c>
      <c r="I18" s="1">
        <f t="shared" si="4"/>
        <v>12940</v>
      </c>
      <c r="J18" s="3">
        <v>23814</v>
      </c>
      <c r="K18" s="68">
        <f t="shared" si="5"/>
        <v>1247</v>
      </c>
      <c r="L18" s="4">
        <f t="shared" si="27"/>
        <v>1.9616788321167884E-2</v>
      </c>
      <c r="M18" s="42">
        <v>551</v>
      </c>
      <c r="N18" s="4">
        <f t="shared" si="12"/>
        <v>2.0467293191189034E-2</v>
      </c>
      <c r="O18" s="42">
        <v>696</v>
      </c>
      <c r="P18" s="5">
        <f t="shared" si="13"/>
        <v>1.8992004802575926E-2</v>
      </c>
      <c r="Q18" s="68">
        <f t="shared" si="6"/>
        <v>1018</v>
      </c>
      <c r="R18" s="4">
        <f t="shared" si="14"/>
        <v>1.6014346841177952E-2</v>
      </c>
      <c r="S18" s="42">
        <v>521</v>
      </c>
      <c r="T18" s="4">
        <f t="shared" si="15"/>
        <v>1.9352921511087997E-2</v>
      </c>
      <c r="U18" s="42">
        <v>497</v>
      </c>
      <c r="V18" s="5">
        <f t="shared" si="16"/>
        <v>1.3561819521379649E-2</v>
      </c>
      <c r="W18" s="75">
        <f t="shared" si="7"/>
        <v>229</v>
      </c>
      <c r="X18" s="1">
        <f t="shared" si="17"/>
        <v>30</v>
      </c>
      <c r="Y18" s="3">
        <f t="shared" si="8"/>
        <v>199</v>
      </c>
      <c r="Z18" s="68">
        <f t="shared" si="9"/>
        <v>523</v>
      </c>
      <c r="AA18" s="4">
        <f t="shared" si="18"/>
        <v>8.2274100176189281E-3</v>
      </c>
      <c r="AB18" s="42">
        <v>254</v>
      </c>
      <c r="AC18" s="4">
        <f t="shared" si="19"/>
        <v>9.4350135581887738E-3</v>
      </c>
      <c r="AD18" s="42">
        <v>269</v>
      </c>
      <c r="AE18" s="5">
        <f t="shared" si="20"/>
        <v>7.3403007067427079E-3</v>
      </c>
      <c r="AF18" s="68">
        <f t="shared" si="10"/>
        <v>485</v>
      </c>
      <c r="AG18" s="4">
        <f t="shared" si="21"/>
        <v>7.6296249685376292E-3</v>
      </c>
      <c r="AH18" s="42">
        <v>69</v>
      </c>
      <c r="AI18" s="4">
        <f t="shared" si="22"/>
        <v>2.5630548642323835E-3</v>
      </c>
      <c r="AJ18" s="42">
        <v>416</v>
      </c>
      <c r="AK18" s="4">
        <f t="shared" si="23"/>
        <v>1.1351543100390209E-2</v>
      </c>
      <c r="AL18" s="42">
        <f t="shared" si="11"/>
        <v>662</v>
      </c>
      <c r="AM18" s="4">
        <f t="shared" si="24"/>
        <v>1.041404480241631E-2</v>
      </c>
      <c r="AN18" s="42">
        <v>89</v>
      </c>
      <c r="AO18" s="4">
        <f t="shared" si="25"/>
        <v>3.3059693176330745E-3</v>
      </c>
      <c r="AP18" s="42">
        <v>573</v>
      </c>
      <c r="AQ18" s="4">
        <f t="shared" si="26"/>
        <v>1.5635659126258628E-2</v>
      </c>
    </row>
    <row r="19" spans="1:43" x14ac:dyDescent="0.35">
      <c r="A19" s="35" t="s">
        <v>50</v>
      </c>
      <c r="B19" s="39">
        <f t="shared" si="0"/>
        <v>64155</v>
      </c>
      <c r="C19" s="1">
        <f t="shared" si="1"/>
        <v>28151</v>
      </c>
      <c r="D19" s="1">
        <f t="shared" si="2"/>
        <v>36004</v>
      </c>
      <c r="E19" s="39">
        <v>27084</v>
      </c>
      <c r="F19" s="1">
        <f t="shared" si="3"/>
        <v>15180</v>
      </c>
      <c r="G19" s="1">
        <v>11904</v>
      </c>
      <c r="H19" s="39">
        <v>37071</v>
      </c>
      <c r="I19" s="1">
        <f t="shared" si="4"/>
        <v>12971</v>
      </c>
      <c r="J19" s="3">
        <v>24100</v>
      </c>
      <c r="K19" s="68">
        <f t="shared" si="5"/>
        <v>1301</v>
      </c>
      <c r="L19" s="4">
        <f t="shared" si="27"/>
        <v>2.0395685708910767E-2</v>
      </c>
      <c r="M19" s="42">
        <v>495</v>
      </c>
      <c r="N19" s="4">
        <f t="shared" si="12"/>
        <v>1.8310275948805209E-2</v>
      </c>
      <c r="O19" s="42">
        <v>806</v>
      </c>
      <c r="P19" s="5">
        <f t="shared" si="13"/>
        <v>2.1929585895412745E-2</v>
      </c>
      <c r="Q19" s="68">
        <f t="shared" si="6"/>
        <v>1023</v>
      </c>
      <c r="R19" s="4">
        <f t="shared" si="14"/>
        <v>1.6037499216153508E-2</v>
      </c>
      <c r="S19" s="42">
        <v>568</v>
      </c>
      <c r="T19" s="4">
        <f t="shared" si="15"/>
        <v>2.10105792705482E-2</v>
      </c>
      <c r="U19" s="42">
        <v>455</v>
      </c>
      <c r="V19" s="5">
        <f t="shared" si="16"/>
        <v>1.2379604940958808E-2</v>
      </c>
      <c r="W19" s="75">
        <f t="shared" si="7"/>
        <v>278</v>
      </c>
      <c r="X19" s="1">
        <f t="shared" si="17"/>
        <v>-73</v>
      </c>
      <c r="Y19" s="3">
        <f t="shared" si="8"/>
        <v>351</v>
      </c>
      <c r="Z19" s="68">
        <f t="shared" si="9"/>
        <v>475</v>
      </c>
      <c r="AA19" s="4">
        <f t="shared" si="18"/>
        <v>7.4465416692794887E-3</v>
      </c>
      <c r="AB19" s="42">
        <v>223</v>
      </c>
      <c r="AC19" s="4">
        <f t="shared" si="19"/>
        <v>8.2488717910779025E-3</v>
      </c>
      <c r="AD19" s="42">
        <v>252</v>
      </c>
      <c r="AE19" s="5">
        <f t="shared" si="20"/>
        <v>6.8563965826848776E-3</v>
      </c>
      <c r="AF19" s="68">
        <f t="shared" si="10"/>
        <v>410</v>
      </c>
      <c r="AG19" s="4">
        <f t="shared" si="21"/>
        <v>6.4275412303254533E-3</v>
      </c>
      <c r="AH19" s="42">
        <v>52</v>
      </c>
      <c r="AI19" s="4">
        <f t="shared" si="22"/>
        <v>1.9235037360361027E-3</v>
      </c>
      <c r="AJ19" s="42">
        <v>358</v>
      </c>
      <c r="AK19" s="4">
        <f t="shared" si="23"/>
        <v>9.7404364150840729E-3</v>
      </c>
      <c r="AL19" s="42">
        <f t="shared" si="11"/>
        <v>629</v>
      </c>
      <c r="AM19" s="4">
        <f t="shared" si="24"/>
        <v>9.8607888631090483E-3</v>
      </c>
      <c r="AN19" s="42">
        <v>108</v>
      </c>
      <c r="AO19" s="4">
        <f t="shared" si="25"/>
        <v>3.9949692979211367E-3</v>
      </c>
      <c r="AP19" s="42">
        <v>521</v>
      </c>
      <c r="AQ19" s="4">
        <f t="shared" si="26"/>
        <v>1.4175327855471513E-2</v>
      </c>
    </row>
    <row r="20" spans="1:43" x14ac:dyDescent="0.35">
      <c r="A20" s="35" t="s">
        <v>51</v>
      </c>
      <c r="B20" s="39">
        <f t="shared" si="0"/>
        <v>64396</v>
      </c>
      <c r="C20" s="1">
        <f t="shared" si="1"/>
        <v>28149</v>
      </c>
      <c r="D20" s="1">
        <f t="shared" si="2"/>
        <v>36247</v>
      </c>
      <c r="E20" s="39">
        <v>27207</v>
      </c>
      <c r="F20" s="1">
        <f t="shared" si="3"/>
        <v>15211</v>
      </c>
      <c r="G20" s="1">
        <v>11996</v>
      </c>
      <c r="H20" s="39">
        <v>37189</v>
      </c>
      <c r="I20" s="1">
        <f t="shared" si="4"/>
        <v>12938</v>
      </c>
      <c r="J20" s="3">
        <v>24251</v>
      </c>
      <c r="K20" s="68">
        <f t="shared" si="5"/>
        <v>1109</v>
      </c>
      <c r="L20" s="4">
        <f t="shared" si="27"/>
        <v>1.728625983945133E-2</v>
      </c>
      <c r="M20" s="42">
        <v>450</v>
      </c>
      <c r="N20" s="4">
        <f t="shared" si="12"/>
        <v>1.6614975631369076E-2</v>
      </c>
      <c r="O20" s="42">
        <v>659</v>
      </c>
      <c r="P20" s="5">
        <f t="shared" si="13"/>
        <v>1.777669876723045E-2</v>
      </c>
      <c r="Q20" s="68">
        <f t="shared" si="6"/>
        <v>1134</v>
      </c>
      <c r="R20" s="4">
        <f t="shared" si="14"/>
        <v>1.7675941080196399E-2</v>
      </c>
      <c r="S20" s="42">
        <v>619</v>
      </c>
      <c r="T20" s="4">
        <f t="shared" si="15"/>
        <v>2.2854822035149904E-2</v>
      </c>
      <c r="U20" s="42">
        <v>515</v>
      </c>
      <c r="V20" s="5">
        <f t="shared" si="16"/>
        <v>1.389226079684929E-2</v>
      </c>
      <c r="W20" s="75">
        <f t="shared" si="7"/>
        <v>-25</v>
      </c>
      <c r="X20" s="1">
        <f t="shared" si="17"/>
        <v>-169</v>
      </c>
      <c r="Y20" s="3">
        <f t="shared" si="8"/>
        <v>144</v>
      </c>
      <c r="Z20" s="68">
        <f t="shared" si="9"/>
        <v>670</v>
      </c>
      <c r="AA20" s="4">
        <f t="shared" si="18"/>
        <v>1.0443457251967891E-2</v>
      </c>
      <c r="AB20" s="42">
        <v>352</v>
      </c>
      <c r="AC20" s="4">
        <f t="shared" si="19"/>
        <v>1.2996603160537587E-2</v>
      </c>
      <c r="AD20" s="42">
        <v>318</v>
      </c>
      <c r="AE20" s="5">
        <f t="shared" si="20"/>
        <v>8.5781338512583953E-3</v>
      </c>
      <c r="AF20" s="68">
        <f t="shared" si="10"/>
        <v>555</v>
      </c>
      <c r="AG20" s="4">
        <f t="shared" si="21"/>
        <v>8.650923544540565E-3</v>
      </c>
      <c r="AH20" s="42">
        <v>111</v>
      </c>
      <c r="AI20" s="4">
        <f t="shared" si="22"/>
        <v>4.0983606557377051E-3</v>
      </c>
      <c r="AJ20" s="42">
        <v>444</v>
      </c>
      <c r="AK20" s="4">
        <f t="shared" si="23"/>
        <v>1.1977017075341911E-2</v>
      </c>
      <c r="AL20" s="42">
        <f t="shared" si="11"/>
        <v>751</v>
      </c>
      <c r="AM20" s="4">
        <f t="shared" si="24"/>
        <v>1.1706024471981919E-2</v>
      </c>
      <c r="AN20" s="42">
        <v>133</v>
      </c>
      <c r="AO20" s="4">
        <f t="shared" si="25"/>
        <v>4.9106483532713038E-3</v>
      </c>
      <c r="AP20" s="42">
        <v>618</v>
      </c>
      <c r="AQ20" s="4">
        <f t="shared" si="26"/>
        <v>1.6670712956219146E-2</v>
      </c>
    </row>
    <row r="21" spans="1:43" x14ac:dyDescent="0.35">
      <c r="A21" s="35" t="s">
        <v>52</v>
      </c>
      <c r="B21" s="39">
        <f t="shared" si="0"/>
        <v>64207</v>
      </c>
      <c r="C21" s="1">
        <f t="shared" si="1"/>
        <v>27935</v>
      </c>
      <c r="D21" s="1">
        <f t="shared" si="2"/>
        <v>36272</v>
      </c>
      <c r="E21" s="39">
        <v>27042</v>
      </c>
      <c r="F21" s="1">
        <f t="shared" si="3"/>
        <v>14998</v>
      </c>
      <c r="G21" s="1">
        <v>12044</v>
      </c>
      <c r="H21" s="39">
        <v>37165</v>
      </c>
      <c r="I21" s="1">
        <f t="shared" si="4"/>
        <v>12937</v>
      </c>
      <c r="J21" s="3">
        <v>24228</v>
      </c>
      <c r="K21" s="68">
        <f t="shared" si="5"/>
        <v>1127</v>
      </c>
      <c r="L21" s="4">
        <f t="shared" si="27"/>
        <v>1.7501087024038759E-2</v>
      </c>
      <c r="M21" s="42">
        <v>345</v>
      </c>
      <c r="N21" s="4">
        <f t="shared" si="12"/>
        <v>1.2680560149961407E-2</v>
      </c>
      <c r="O21" s="42">
        <v>782</v>
      </c>
      <c r="P21" s="5">
        <f t="shared" si="13"/>
        <v>2.1027723251499097E-2</v>
      </c>
      <c r="Q21" s="68">
        <f t="shared" si="6"/>
        <v>1093</v>
      </c>
      <c r="R21" s="4">
        <f t="shared" si="14"/>
        <v>1.6973103919498106E-2</v>
      </c>
      <c r="S21" s="42">
        <v>531</v>
      </c>
      <c r="T21" s="4">
        <f t="shared" si="15"/>
        <v>1.951703605689712E-2</v>
      </c>
      <c r="U21" s="42">
        <v>562</v>
      </c>
      <c r="V21" s="5">
        <f t="shared" si="16"/>
        <v>1.5111995482535159E-2</v>
      </c>
      <c r="W21" s="75">
        <f t="shared" si="7"/>
        <v>34</v>
      </c>
      <c r="X21" s="1">
        <f t="shared" si="17"/>
        <v>-186</v>
      </c>
      <c r="Y21" s="3">
        <f t="shared" si="8"/>
        <v>220</v>
      </c>
      <c r="Z21" s="68">
        <f t="shared" si="9"/>
        <v>644</v>
      </c>
      <c r="AA21" s="4">
        <f t="shared" si="18"/>
        <v>1.0000621156593578E-2</v>
      </c>
      <c r="AB21" s="42">
        <v>282</v>
      </c>
      <c r="AC21" s="4">
        <f t="shared" si="19"/>
        <v>1.036497960083802E-2</v>
      </c>
      <c r="AD21" s="42">
        <v>362</v>
      </c>
      <c r="AE21" s="5">
        <f t="shared" si="20"/>
        <v>9.7340611471133931E-3</v>
      </c>
      <c r="AF21" s="68">
        <f t="shared" si="10"/>
        <v>365</v>
      </c>
      <c r="AG21" s="4">
        <f t="shared" si="21"/>
        <v>5.6680539163923224E-3</v>
      </c>
      <c r="AH21" s="42">
        <v>57</v>
      </c>
      <c r="AI21" s="4">
        <f t="shared" si="22"/>
        <v>2.0950490682544935E-3</v>
      </c>
      <c r="AJ21" s="42">
        <v>308</v>
      </c>
      <c r="AK21" s="4">
        <f t="shared" si="23"/>
        <v>8.2820188765495174E-3</v>
      </c>
      <c r="AL21" s="42">
        <f t="shared" si="11"/>
        <v>533</v>
      </c>
      <c r="AM21" s="4">
        <f t="shared" si="24"/>
        <v>8.2769116094167337E-3</v>
      </c>
      <c r="AN21" s="42">
        <v>70</v>
      </c>
      <c r="AO21" s="4">
        <f t="shared" si="25"/>
        <v>2.5728672768037639E-3</v>
      </c>
      <c r="AP21" s="42">
        <v>463</v>
      </c>
      <c r="AQ21" s="4">
        <f t="shared" si="26"/>
        <v>1.2449917986501385E-2</v>
      </c>
    </row>
    <row r="22" spans="1:43" x14ac:dyDescent="0.35">
      <c r="A22" s="35" t="s">
        <v>53</v>
      </c>
      <c r="B22" s="39">
        <f t="shared" si="0"/>
        <v>64415</v>
      </c>
      <c r="C22" s="1">
        <f t="shared" si="1"/>
        <v>27841</v>
      </c>
      <c r="D22" s="1">
        <f t="shared" si="2"/>
        <v>36574</v>
      </c>
      <c r="E22" s="39">
        <v>26978</v>
      </c>
      <c r="F22" s="1">
        <f t="shared" si="3"/>
        <v>14825</v>
      </c>
      <c r="G22" s="1">
        <v>12153</v>
      </c>
      <c r="H22" s="39">
        <v>37437</v>
      </c>
      <c r="I22" s="1">
        <f t="shared" si="4"/>
        <v>13016</v>
      </c>
      <c r="J22" s="3">
        <v>24421</v>
      </c>
      <c r="K22" s="68">
        <f t="shared" si="5"/>
        <v>1304</v>
      </c>
      <c r="L22" s="4">
        <f t="shared" si="27"/>
        <v>2.0309312068777549E-2</v>
      </c>
      <c r="M22" s="42">
        <v>472</v>
      </c>
      <c r="N22" s="4">
        <f t="shared" si="12"/>
        <v>1.7454330301013239E-2</v>
      </c>
      <c r="O22" s="42">
        <v>832</v>
      </c>
      <c r="P22" s="5">
        <f t="shared" si="13"/>
        <v>2.2386654110049777E-2</v>
      </c>
      <c r="Q22" s="68">
        <f t="shared" si="6"/>
        <v>1045</v>
      </c>
      <c r="R22" s="4">
        <f t="shared" si="14"/>
        <v>1.6275483981497346E-2</v>
      </c>
      <c r="S22" s="42">
        <v>572</v>
      </c>
      <c r="T22" s="4">
        <f t="shared" si="15"/>
        <v>2.1152281635973672E-2</v>
      </c>
      <c r="U22" s="42">
        <v>473</v>
      </c>
      <c r="V22" s="5">
        <f t="shared" si="16"/>
        <v>1.2727028117852819E-2</v>
      </c>
      <c r="W22" s="75">
        <f t="shared" si="7"/>
        <v>259</v>
      </c>
      <c r="X22" s="1">
        <f t="shared" si="17"/>
        <v>-100</v>
      </c>
      <c r="Y22" s="3">
        <f t="shared" si="8"/>
        <v>359</v>
      </c>
      <c r="Z22" s="68">
        <f t="shared" si="9"/>
        <v>548</v>
      </c>
      <c r="AA22" s="4">
        <f t="shared" si="18"/>
        <v>8.5348949491488475E-3</v>
      </c>
      <c r="AB22" s="42">
        <v>262</v>
      </c>
      <c r="AC22" s="4">
        <f t="shared" si="19"/>
        <v>9.6886324975963313E-3</v>
      </c>
      <c r="AD22" s="42">
        <v>286</v>
      </c>
      <c r="AE22" s="5">
        <f t="shared" si="20"/>
        <v>7.6954123503296112E-3</v>
      </c>
      <c r="AF22" s="68">
        <f t="shared" si="10"/>
        <v>499</v>
      </c>
      <c r="AG22" s="4">
        <f t="shared" si="21"/>
        <v>7.7717382839877268E-3</v>
      </c>
      <c r="AH22" s="42">
        <v>75</v>
      </c>
      <c r="AI22" s="4">
        <f t="shared" si="22"/>
        <v>2.7734635012203238E-3</v>
      </c>
      <c r="AJ22" s="42">
        <v>424</v>
      </c>
      <c r="AK22" s="4">
        <f t="shared" si="23"/>
        <v>1.1408583344544598E-2</v>
      </c>
      <c r="AL22" s="42">
        <f t="shared" si="11"/>
        <v>700</v>
      </c>
      <c r="AM22" s="4">
        <f t="shared" si="24"/>
        <v>1.0902238073730279E-2</v>
      </c>
      <c r="AN22" s="42">
        <v>101</v>
      </c>
      <c r="AO22" s="4">
        <f t="shared" si="25"/>
        <v>3.7349308483100364E-3</v>
      </c>
      <c r="AP22" s="42">
        <v>599</v>
      </c>
      <c r="AQ22" s="4">
        <f t="shared" si="26"/>
        <v>1.6117314677788243E-2</v>
      </c>
    </row>
    <row r="23" spans="1:43" x14ac:dyDescent="0.35">
      <c r="A23" s="35" t="s">
        <v>54</v>
      </c>
      <c r="B23" s="39">
        <f t="shared" si="0"/>
        <v>65049</v>
      </c>
      <c r="C23" s="1">
        <f t="shared" si="1"/>
        <v>28104</v>
      </c>
      <c r="D23" s="1">
        <f t="shared" si="2"/>
        <v>36945</v>
      </c>
      <c r="E23" s="39">
        <v>27210</v>
      </c>
      <c r="F23" s="1">
        <f t="shared" si="3"/>
        <v>14953</v>
      </c>
      <c r="G23" s="1">
        <v>12257</v>
      </c>
      <c r="H23" s="39">
        <v>37839</v>
      </c>
      <c r="I23" s="1">
        <f t="shared" si="4"/>
        <v>13151</v>
      </c>
      <c r="J23" s="3">
        <v>24688</v>
      </c>
      <c r="K23" s="68">
        <f t="shared" si="5"/>
        <v>1367</v>
      </c>
      <c r="L23" s="4">
        <f t="shared" si="27"/>
        <v>2.1221765116820616E-2</v>
      </c>
      <c r="M23" s="42">
        <v>544</v>
      </c>
      <c r="N23" s="4">
        <f t="shared" si="12"/>
        <v>2.0164578545481503E-2</v>
      </c>
      <c r="O23" s="42">
        <v>823</v>
      </c>
      <c r="P23" s="5">
        <f t="shared" si="13"/>
        <v>2.1983599113176804E-2</v>
      </c>
      <c r="Q23" s="68">
        <f t="shared" si="6"/>
        <v>910</v>
      </c>
      <c r="R23" s="4">
        <f t="shared" si="14"/>
        <v>1.4127144298688193E-2</v>
      </c>
      <c r="S23" s="42">
        <v>495</v>
      </c>
      <c r="T23" s="4">
        <f t="shared" si="15"/>
        <v>1.8348283786789234E-2</v>
      </c>
      <c r="U23" s="42">
        <v>415</v>
      </c>
      <c r="V23" s="5">
        <f t="shared" si="16"/>
        <v>1.1085289953789032E-2</v>
      </c>
      <c r="W23" s="75">
        <f t="shared" si="7"/>
        <v>457</v>
      </c>
      <c r="X23" s="1">
        <f t="shared" si="17"/>
        <v>49</v>
      </c>
      <c r="Y23" s="3">
        <f t="shared" si="8"/>
        <v>408</v>
      </c>
      <c r="Z23" s="68">
        <f t="shared" si="9"/>
        <v>408</v>
      </c>
      <c r="AA23" s="4">
        <f t="shared" si="18"/>
        <v>6.3339284328184425E-3</v>
      </c>
      <c r="AB23" s="42">
        <v>209</v>
      </c>
      <c r="AC23" s="4">
        <f t="shared" si="19"/>
        <v>7.7470531544221221E-3</v>
      </c>
      <c r="AD23" s="42">
        <v>199</v>
      </c>
      <c r="AE23" s="5">
        <f t="shared" si="20"/>
        <v>5.3155968694072707E-3</v>
      </c>
      <c r="AF23" s="68">
        <f t="shared" si="10"/>
        <v>445</v>
      </c>
      <c r="AG23" s="4">
        <f t="shared" si="21"/>
        <v>6.9083288054024687E-3</v>
      </c>
      <c r="AH23" s="42">
        <v>73</v>
      </c>
      <c r="AI23" s="4">
        <f t="shared" si="22"/>
        <v>2.705908518051746E-3</v>
      </c>
      <c r="AJ23" s="42">
        <v>372</v>
      </c>
      <c r="AK23" s="4">
        <f t="shared" si="23"/>
        <v>9.9366936453241447E-3</v>
      </c>
      <c r="AL23" s="42">
        <f t="shared" si="11"/>
        <v>633</v>
      </c>
      <c r="AM23" s="4">
        <f t="shared" si="24"/>
        <v>9.8269036715050839E-3</v>
      </c>
      <c r="AN23" s="42">
        <v>93</v>
      </c>
      <c r="AO23" s="4">
        <f t="shared" si="25"/>
        <v>3.4472533175179776E-3</v>
      </c>
      <c r="AP23" s="42">
        <v>540</v>
      </c>
      <c r="AQ23" s="4">
        <f t="shared" si="26"/>
        <v>1.4424232710954403E-2</v>
      </c>
    </row>
    <row r="24" spans="1:43" x14ac:dyDescent="0.35">
      <c r="A24" s="35" t="s">
        <v>55</v>
      </c>
      <c r="B24" s="39">
        <f t="shared" si="0"/>
        <v>65452</v>
      </c>
      <c r="C24" s="1">
        <f t="shared" si="1"/>
        <v>28308</v>
      </c>
      <c r="D24" s="1">
        <f t="shared" si="2"/>
        <v>37144</v>
      </c>
      <c r="E24" s="39">
        <v>27341</v>
      </c>
      <c r="F24" s="1">
        <f t="shared" si="3"/>
        <v>15047</v>
      </c>
      <c r="G24" s="1">
        <v>12294</v>
      </c>
      <c r="H24" s="39">
        <v>38111</v>
      </c>
      <c r="I24" s="1">
        <f t="shared" si="4"/>
        <v>13261</v>
      </c>
      <c r="J24" s="3">
        <v>24850</v>
      </c>
      <c r="K24" s="68">
        <f t="shared" si="5"/>
        <v>1209</v>
      </c>
      <c r="L24" s="4">
        <f t="shared" si="27"/>
        <v>1.8585989023659089E-2</v>
      </c>
      <c r="M24" s="42">
        <v>510</v>
      </c>
      <c r="N24" s="4">
        <f t="shared" si="12"/>
        <v>1.8743109151047408E-2</v>
      </c>
      <c r="O24" s="42">
        <v>699</v>
      </c>
      <c r="P24" s="5">
        <f t="shared" si="13"/>
        <v>1.8473004043447237E-2</v>
      </c>
      <c r="Q24" s="68">
        <f t="shared" si="6"/>
        <v>1022</v>
      </c>
      <c r="R24" s="4">
        <f t="shared" si="14"/>
        <v>1.5711233070454581E-2</v>
      </c>
      <c r="S24" s="42">
        <v>574</v>
      </c>
      <c r="T24" s="4">
        <f t="shared" si="15"/>
        <v>2.1095185593531789E-2</v>
      </c>
      <c r="U24" s="42">
        <v>448</v>
      </c>
      <c r="V24" s="5">
        <f t="shared" si="16"/>
        <v>1.1839636354026269E-2</v>
      </c>
      <c r="W24" s="75">
        <f t="shared" si="7"/>
        <v>187</v>
      </c>
      <c r="X24" s="1">
        <f t="shared" si="17"/>
        <v>-64</v>
      </c>
      <c r="Y24" s="3">
        <f t="shared" si="8"/>
        <v>251</v>
      </c>
      <c r="Z24" s="68">
        <f t="shared" si="9"/>
        <v>585</v>
      </c>
      <c r="AA24" s="4">
        <f t="shared" si="18"/>
        <v>8.993220495318914E-3</v>
      </c>
      <c r="AB24" s="42">
        <v>285</v>
      </c>
      <c r="AC24" s="4">
        <f t="shared" si="19"/>
        <v>1.0474090407938258E-2</v>
      </c>
      <c r="AD24" s="42">
        <v>300</v>
      </c>
      <c r="AE24" s="5">
        <f t="shared" si="20"/>
        <v>7.9283279156425902E-3</v>
      </c>
      <c r="AF24" s="68">
        <f t="shared" si="10"/>
        <v>463</v>
      </c>
      <c r="AG24" s="4">
        <f t="shared" si="21"/>
        <v>7.1177112638165074E-3</v>
      </c>
      <c r="AH24" s="42">
        <v>85</v>
      </c>
      <c r="AI24" s="4">
        <f t="shared" si="22"/>
        <v>3.1238515251745683E-3</v>
      </c>
      <c r="AJ24" s="42">
        <v>378</v>
      </c>
      <c r="AK24" s="4">
        <f t="shared" si="23"/>
        <v>9.9896931737096639E-3</v>
      </c>
      <c r="AL24" s="42">
        <f t="shared" si="11"/>
        <v>601</v>
      </c>
      <c r="AM24" s="4">
        <f t="shared" si="24"/>
        <v>9.2391889191225079E-3</v>
      </c>
      <c r="AN24" s="42">
        <v>100</v>
      </c>
      <c r="AO24" s="4">
        <f t="shared" si="25"/>
        <v>3.6751194413818448E-3</v>
      </c>
      <c r="AP24" s="42">
        <v>501</v>
      </c>
      <c r="AQ24" s="4">
        <f t="shared" si="26"/>
        <v>1.3240307619123128E-2</v>
      </c>
    </row>
    <row r="25" spans="1:43" x14ac:dyDescent="0.35">
      <c r="A25" s="35" t="s">
        <v>56</v>
      </c>
      <c r="B25" s="39">
        <f t="shared" si="0"/>
        <v>65100</v>
      </c>
      <c r="C25" s="1">
        <f t="shared" si="1"/>
        <v>28222</v>
      </c>
      <c r="D25" s="1">
        <f t="shared" si="2"/>
        <v>36878</v>
      </c>
      <c r="E25" s="39">
        <v>27092</v>
      </c>
      <c r="F25" s="1">
        <f t="shared" si="3"/>
        <v>14907</v>
      </c>
      <c r="G25" s="1">
        <v>12185</v>
      </c>
      <c r="H25" s="39">
        <v>38008</v>
      </c>
      <c r="I25" s="1">
        <f t="shared" si="4"/>
        <v>13315</v>
      </c>
      <c r="J25" s="3">
        <v>24693</v>
      </c>
      <c r="K25" s="68">
        <f t="shared" si="5"/>
        <v>914</v>
      </c>
      <c r="L25" s="4">
        <f t="shared" si="27"/>
        <v>1.3964431950131395E-2</v>
      </c>
      <c r="M25" s="42">
        <v>348</v>
      </c>
      <c r="N25" s="4">
        <f t="shared" si="12"/>
        <v>1.2728137229801397E-2</v>
      </c>
      <c r="O25" s="42">
        <v>566</v>
      </c>
      <c r="P25" s="5">
        <f t="shared" si="13"/>
        <v>1.4851355251764583E-2</v>
      </c>
      <c r="Q25" s="68">
        <f t="shared" si="6"/>
        <v>1052</v>
      </c>
      <c r="R25" s="4">
        <f t="shared" si="14"/>
        <v>1.6072847277394119E-2</v>
      </c>
      <c r="S25" s="42">
        <v>531</v>
      </c>
      <c r="T25" s="4">
        <f t="shared" si="15"/>
        <v>1.9421381807541788E-2</v>
      </c>
      <c r="U25" s="42">
        <v>521</v>
      </c>
      <c r="V25" s="5">
        <f t="shared" si="16"/>
        <v>1.3670593791818635E-2</v>
      </c>
      <c r="W25" s="75">
        <f t="shared" si="7"/>
        <v>-138</v>
      </c>
      <c r="X25" s="1">
        <f t="shared" si="17"/>
        <v>-183</v>
      </c>
      <c r="Y25" s="3">
        <f t="shared" si="8"/>
        <v>45</v>
      </c>
      <c r="Z25" s="68">
        <f t="shared" si="9"/>
        <v>640</v>
      </c>
      <c r="AA25" s="4">
        <f t="shared" si="18"/>
        <v>9.7781580394793125E-3</v>
      </c>
      <c r="AB25" s="42">
        <v>295</v>
      </c>
      <c r="AC25" s="4">
        <f t="shared" si="19"/>
        <v>1.0789656559745437E-2</v>
      </c>
      <c r="AD25" s="42">
        <v>345</v>
      </c>
      <c r="AE25" s="5">
        <f t="shared" si="20"/>
        <v>9.0525045262522634E-3</v>
      </c>
      <c r="AF25" s="68">
        <f t="shared" si="10"/>
        <v>340</v>
      </c>
      <c r="AG25" s="4">
        <f t="shared" si="21"/>
        <v>5.1946464584733849E-3</v>
      </c>
      <c r="AH25" s="42">
        <v>69</v>
      </c>
      <c r="AI25" s="4">
        <f t="shared" si="22"/>
        <v>2.5236823817709666E-3</v>
      </c>
      <c r="AJ25" s="42">
        <v>271</v>
      </c>
      <c r="AK25" s="4">
        <f t="shared" si="23"/>
        <v>7.1108079032300387E-3</v>
      </c>
      <c r="AL25" s="42">
        <f t="shared" si="11"/>
        <v>441</v>
      </c>
      <c r="AM25" s="4">
        <f t="shared" si="24"/>
        <v>6.7377620240787143E-3</v>
      </c>
      <c r="AN25" s="42">
        <v>87</v>
      </c>
      <c r="AO25" s="4">
        <f t="shared" si="25"/>
        <v>3.1820343074503493E-3</v>
      </c>
      <c r="AP25" s="42">
        <v>354</v>
      </c>
      <c r="AQ25" s="4">
        <f t="shared" si="26"/>
        <v>9.2886568182414531E-3</v>
      </c>
    </row>
    <row r="26" spans="1:43" x14ac:dyDescent="0.35">
      <c r="A26" s="35" t="s">
        <v>57</v>
      </c>
      <c r="B26" s="39">
        <f t="shared" si="0"/>
        <v>64816</v>
      </c>
      <c r="C26" s="1">
        <f t="shared" si="1"/>
        <v>27910</v>
      </c>
      <c r="D26" s="1">
        <f t="shared" si="2"/>
        <v>36906</v>
      </c>
      <c r="E26" s="39">
        <v>26996</v>
      </c>
      <c r="F26" s="1">
        <f t="shared" si="3"/>
        <v>14755</v>
      </c>
      <c r="G26" s="1">
        <v>12241</v>
      </c>
      <c r="H26" s="39">
        <v>37820</v>
      </c>
      <c r="I26" s="1">
        <f t="shared" si="4"/>
        <v>13155</v>
      </c>
      <c r="J26" s="3">
        <v>24665</v>
      </c>
      <c r="K26" s="68">
        <f t="shared" si="5"/>
        <v>560</v>
      </c>
      <c r="L26" s="4">
        <f t="shared" si="27"/>
        <v>8.6021505376344086E-3</v>
      </c>
      <c r="M26" s="42">
        <v>197</v>
      </c>
      <c r="N26" s="4">
        <f t="shared" si="12"/>
        <v>7.2715192676804964E-3</v>
      </c>
      <c r="O26" s="42">
        <v>363</v>
      </c>
      <c r="P26" s="5">
        <f t="shared" si="13"/>
        <v>9.5506209219111769E-3</v>
      </c>
      <c r="Q26" s="68">
        <f t="shared" si="6"/>
        <v>885</v>
      </c>
      <c r="R26" s="4">
        <f t="shared" si="14"/>
        <v>1.3594470046082949E-2</v>
      </c>
      <c r="S26" s="42">
        <v>460</v>
      </c>
      <c r="T26" s="4">
        <f t="shared" si="15"/>
        <v>1.697918204636055E-2</v>
      </c>
      <c r="U26" s="42">
        <v>425</v>
      </c>
      <c r="V26" s="5">
        <f t="shared" si="16"/>
        <v>1.1181856451273417E-2</v>
      </c>
      <c r="W26" s="75">
        <f t="shared" si="7"/>
        <v>-325</v>
      </c>
      <c r="X26" s="1">
        <f t="shared" si="17"/>
        <v>-263</v>
      </c>
      <c r="Y26" s="3">
        <f t="shared" si="8"/>
        <v>-62</v>
      </c>
      <c r="Z26" s="68">
        <f t="shared" si="9"/>
        <v>456</v>
      </c>
      <c r="AA26" s="4">
        <f t="shared" si="18"/>
        <v>7.0046082949308756E-3</v>
      </c>
      <c r="AB26" s="42">
        <v>240</v>
      </c>
      <c r="AC26" s="4">
        <f t="shared" si="19"/>
        <v>8.8587036763620262E-3</v>
      </c>
      <c r="AD26" s="42">
        <v>216</v>
      </c>
      <c r="AE26" s="5">
        <f t="shared" si="20"/>
        <v>5.6830141022942539E-3</v>
      </c>
      <c r="AF26" s="68">
        <f t="shared" si="10"/>
        <v>171</v>
      </c>
      <c r="AG26" s="4">
        <f t="shared" si="21"/>
        <v>2.6267281105990786E-3</v>
      </c>
      <c r="AH26" s="42">
        <v>21</v>
      </c>
      <c r="AI26" s="4">
        <f t="shared" si="22"/>
        <v>7.751365716816772E-4</v>
      </c>
      <c r="AJ26" s="42">
        <v>150</v>
      </c>
      <c r="AK26" s="4">
        <f t="shared" si="23"/>
        <v>3.9465375710376763E-3</v>
      </c>
      <c r="AL26" s="42">
        <f t="shared" si="11"/>
        <v>259</v>
      </c>
      <c r="AM26" s="4">
        <f t="shared" si="24"/>
        <v>3.9784946236559142E-3</v>
      </c>
      <c r="AN26" s="42">
        <v>44</v>
      </c>
      <c r="AO26" s="4">
        <f t="shared" si="25"/>
        <v>1.6240956739997047E-3</v>
      </c>
      <c r="AP26" s="42">
        <v>215</v>
      </c>
      <c r="AQ26" s="4">
        <f t="shared" si="26"/>
        <v>5.6567038518206695E-3</v>
      </c>
    </row>
    <row r="27" spans="1:43" x14ac:dyDescent="0.35">
      <c r="A27" s="35" t="s">
        <v>58</v>
      </c>
      <c r="B27" s="39">
        <f t="shared" si="0"/>
        <v>65388</v>
      </c>
      <c r="C27" s="1">
        <f t="shared" si="1"/>
        <v>28035</v>
      </c>
      <c r="D27" s="1">
        <f t="shared" si="2"/>
        <v>37353</v>
      </c>
      <c r="E27" s="39">
        <v>27431</v>
      </c>
      <c r="F27" s="1">
        <f t="shared" si="3"/>
        <v>14963</v>
      </c>
      <c r="G27" s="1">
        <v>12468</v>
      </c>
      <c r="H27" s="39">
        <v>37957</v>
      </c>
      <c r="I27" s="1">
        <f t="shared" si="4"/>
        <v>13072</v>
      </c>
      <c r="J27" s="3">
        <v>24885</v>
      </c>
      <c r="K27" s="68">
        <f t="shared" si="5"/>
        <v>1260</v>
      </c>
      <c r="L27" s="4">
        <f t="shared" si="27"/>
        <v>1.9439644532214268E-2</v>
      </c>
      <c r="M27" s="42">
        <v>656</v>
      </c>
      <c r="N27" s="4">
        <f t="shared" si="12"/>
        <v>2.4299896280930509E-2</v>
      </c>
      <c r="O27" s="42">
        <v>604</v>
      </c>
      <c r="P27" s="5">
        <f t="shared" si="13"/>
        <v>1.5970386039132735E-2</v>
      </c>
      <c r="Q27" s="68">
        <f t="shared" si="6"/>
        <v>1127</v>
      </c>
      <c r="R27" s="4">
        <f t="shared" si="14"/>
        <v>1.7387682053813872E-2</v>
      </c>
      <c r="S27" s="42">
        <v>576</v>
      </c>
      <c r="T27" s="4">
        <f t="shared" si="15"/>
        <v>2.1336494295451178E-2</v>
      </c>
      <c r="U27" s="42">
        <v>551</v>
      </c>
      <c r="V27" s="5">
        <f t="shared" si="16"/>
        <v>1.4569011105235325E-2</v>
      </c>
      <c r="W27" s="75">
        <f t="shared" si="7"/>
        <v>133</v>
      </c>
      <c r="X27" s="1">
        <f t="shared" si="17"/>
        <v>80</v>
      </c>
      <c r="Y27" s="3">
        <f t="shared" si="8"/>
        <v>53</v>
      </c>
      <c r="Z27" s="68">
        <f t="shared" si="9"/>
        <v>595</v>
      </c>
      <c r="AA27" s="4">
        <f t="shared" si="18"/>
        <v>9.1798321402122938E-3</v>
      </c>
      <c r="AB27" s="42">
        <v>279</v>
      </c>
      <c r="AC27" s="4">
        <f t="shared" si="19"/>
        <v>1.0334864424359165E-2</v>
      </c>
      <c r="AD27" s="42">
        <v>316</v>
      </c>
      <c r="AE27" s="5">
        <f t="shared" si="20"/>
        <v>8.3553675304071928E-3</v>
      </c>
      <c r="AF27" s="68">
        <f t="shared" si="10"/>
        <v>283</v>
      </c>
      <c r="AG27" s="4">
        <f t="shared" si="21"/>
        <v>4.3662058750925693E-3</v>
      </c>
      <c r="AH27" s="42">
        <v>48</v>
      </c>
      <c r="AI27" s="4">
        <f t="shared" si="22"/>
        <v>1.7780411912875981E-3</v>
      </c>
      <c r="AJ27" s="42">
        <v>235</v>
      </c>
      <c r="AK27" s="4">
        <f t="shared" si="23"/>
        <v>6.2136435748281335E-3</v>
      </c>
      <c r="AL27" s="42">
        <f t="shared" si="11"/>
        <v>506</v>
      </c>
      <c r="AM27" s="4">
        <f t="shared" si="24"/>
        <v>7.8067143915082696E-3</v>
      </c>
      <c r="AN27" s="42">
        <v>79</v>
      </c>
      <c r="AO27" s="4">
        <f t="shared" si="25"/>
        <v>2.9263594606608388E-3</v>
      </c>
      <c r="AP27" s="42">
        <v>427</v>
      </c>
      <c r="AQ27" s="4">
        <f t="shared" si="26"/>
        <v>1.1290322580645161E-2</v>
      </c>
    </row>
    <row r="28" spans="1:43" x14ac:dyDescent="0.35">
      <c r="A28" s="35" t="s">
        <v>59</v>
      </c>
      <c r="B28" s="39">
        <f t="shared" si="0"/>
        <v>65183</v>
      </c>
      <c r="C28" s="1">
        <f t="shared" si="1"/>
        <v>27762</v>
      </c>
      <c r="D28" s="1">
        <f t="shared" si="2"/>
        <v>37421</v>
      </c>
      <c r="E28" s="39">
        <v>27198</v>
      </c>
      <c r="F28" s="1">
        <f t="shared" si="3"/>
        <v>14699</v>
      </c>
      <c r="G28" s="1">
        <v>12499</v>
      </c>
      <c r="H28" s="39">
        <v>37985</v>
      </c>
      <c r="I28" s="1">
        <f t="shared" si="4"/>
        <v>13063</v>
      </c>
      <c r="J28" s="3">
        <v>24922</v>
      </c>
      <c r="K28" s="68">
        <f t="shared" si="5"/>
        <v>1345</v>
      </c>
      <c r="L28" s="4">
        <f t="shared" si="27"/>
        <v>2.0569523459962071E-2</v>
      </c>
      <c r="M28" s="42">
        <v>887</v>
      </c>
      <c r="N28" s="4">
        <f t="shared" si="12"/>
        <v>3.2335678611789584E-2</v>
      </c>
      <c r="O28" s="42">
        <v>458</v>
      </c>
      <c r="P28" s="5">
        <f t="shared" si="13"/>
        <v>1.206628553363016E-2</v>
      </c>
      <c r="Q28" s="68">
        <f t="shared" si="6"/>
        <v>1382</v>
      </c>
      <c r="R28" s="4">
        <f t="shared" si="14"/>
        <v>2.1135376521685935E-2</v>
      </c>
      <c r="S28" s="42">
        <v>816</v>
      </c>
      <c r="T28" s="4">
        <f t="shared" si="15"/>
        <v>2.9747366118624913E-2</v>
      </c>
      <c r="U28" s="42">
        <v>566</v>
      </c>
      <c r="V28" s="5">
        <f t="shared" si="16"/>
        <v>1.4911610506625919E-2</v>
      </c>
      <c r="W28" s="75">
        <f t="shared" si="7"/>
        <v>-37</v>
      </c>
      <c r="X28" s="1">
        <f t="shared" si="17"/>
        <v>71</v>
      </c>
      <c r="Y28" s="3">
        <f t="shared" si="8"/>
        <v>-108</v>
      </c>
      <c r="Z28" s="68">
        <f t="shared" si="9"/>
        <v>693</v>
      </c>
      <c r="AA28" s="4">
        <f t="shared" si="18"/>
        <v>1.0598274912828042E-2</v>
      </c>
      <c r="AB28" s="42">
        <v>325</v>
      </c>
      <c r="AC28" s="4">
        <f t="shared" si="19"/>
        <v>1.1847909299697423E-2</v>
      </c>
      <c r="AD28" s="42">
        <v>368</v>
      </c>
      <c r="AE28" s="5">
        <f t="shared" si="20"/>
        <v>9.6951813894670287E-3</v>
      </c>
      <c r="AF28" s="68">
        <f t="shared" si="10"/>
        <v>364</v>
      </c>
      <c r="AG28" s="4">
        <f t="shared" si="21"/>
        <v>5.5667706612834156E-3</v>
      </c>
      <c r="AH28" s="42">
        <v>33</v>
      </c>
      <c r="AI28" s="4">
        <f t="shared" si="22"/>
        <v>1.2030184827385075E-3</v>
      </c>
      <c r="AJ28" s="42">
        <v>331</v>
      </c>
      <c r="AK28" s="4">
        <f t="shared" si="23"/>
        <v>8.720394130199963E-3</v>
      </c>
      <c r="AL28" s="42">
        <f t="shared" si="11"/>
        <v>386</v>
      </c>
      <c r="AM28" s="4">
        <f t="shared" si="24"/>
        <v>5.9032238331192264E-3</v>
      </c>
      <c r="AN28" s="42">
        <v>63</v>
      </c>
      <c r="AO28" s="4">
        <f t="shared" si="25"/>
        <v>2.2966716488644233E-3</v>
      </c>
      <c r="AP28" s="42">
        <v>323</v>
      </c>
      <c r="AQ28" s="4">
        <f t="shared" si="26"/>
        <v>8.5096293173854629E-3</v>
      </c>
    </row>
    <row r="29" spans="1:43" x14ac:dyDescent="0.35">
      <c r="A29" s="35" t="s">
        <v>60</v>
      </c>
      <c r="B29" s="39">
        <f t="shared" si="0"/>
        <v>64427</v>
      </c>
      <c r="C29" s="1">
        <f t="shared" si="1"/>
        <v>27141</v>
      </c>
      <c r="D29" s="1">
        <f t="shared" si="2"/>
        <v>37286</v>
      </c>
      <c r="E29" s="39">
        <v>26675</v>
      </c>
      <c r="F29" s="1">
        <f t="shared" si="3"/>
        <v>14199</v>
      </c>
      <c r="G29" s="1">
        <v>12476</v>
      </c>
      <c r="H29" s="39">
        <v>37752</v>
      </c>
      <c r="I29" s="1">
        <f t="shared" si="4"/>
        <v>12942</v>
      </c>
      <c r="J29" s="3">
        <v>24810</v>
      </c>
      <c r="K29" s="68">
        <f t="shared" si="5"/>
        <v>779</v>
      </c>
      <c r="L29" s="4">
        <f t="shared" si="27"/>
        <v>1.1950968810886274E-2</v>
      </c>
      <c r="M29" s="42">
        <v>319</v>
      </c>
      <c r="N29" s="4">
        <f t="shared" si="12"/>
        <v>1.1728803588499155E-2</v>
      </c>
      <c r="O29" s="42">
        <v>460</v>
      </c>
      <c r="P29" s="5">
        <f t="shared" si="13"/>
        <v>1.2110043438199289E-2</v>
      </c>
      <c r="Q29" s="68">
        <f t="shared" si="6"/>
        <v>1374</v>
      </c>
      <c r="R29" s="4">
        <f t="shared" si="14"/>
        <v>2.1079115720356534E-2</v>
      </c>
      <c r="S29" s="42">
        <v>813</v>
      </c>
      <c r="T29" s="4">
        <f t="shared" si="15"/>
        <v>2.9891903816457094E-2</v>
      </c>
      <c r="U29" s="42">
        <v>561</v>
      </c>
      <c r="V29" s="5">
        <f t="shared" si="16"/>
        <v>1.4768987758325655E-2</v>
      </c>
      <c r="W29" s="75">
        <f t="shared" si="7"/>
        <v>-595</v>
      </c>
      <c r="X29" s="1">
        <f t="shared" si="17"/>
        <v>-494</v>
      </c>
      <c r="Y29" s="3">
        <f t="shared" si="8"/>
        <v>-101</v>
      </c>
      <c r="Z29" s="68">
        <f t="shared" si="9"/>
        <v>737</v>
      </c>
      <c r="AA29" s="4">
        <f t="shared" si="18"/>
        <v>1.1306629029041315E-2</v>
      </c>
      <c r="AB29" s="42">
        <v>358</v>
      </c>
      <c r="AC29" s="4">
        <f t="shared" si="19"/>
        <v>1.3162732553864255E-2</v>
      </c>
      <c r="AD29" s="42">
        <v>379</v>
      </c>
      <c r="AE29" s="5">
        <f t="shared" si="20"/>
        <v>9.9776227458207179E-3</v>
      </c>
      <c r="AF29" s="68">
        <f t="shared" si="10"/>
        <v>296</v>
      </c>
      <c r="AG29" s="4">
        <f t="shared" si="21"/>
        <v>4.5410613196692389E-3</v>
      </c>
      <c r="AH29" s="42">
        <v>51</v>
      </c>
      <c r="AI29" s="4">
        <f t="shared" si="22"/>
        <v>1.8751378777851313E-3</v>
      </c>
      <c r="AJ29" s="42">
        <v>245</v>
      </c>
      <c r="AK29" s="4">
        <f t="shared" si="23"/>
        <v>6.449914439910491E-3</v>
      </c>
      <c r="AL29" s="42">
        <f t="shared" si="11"/>
        <v>486</v>
      </c>
      <c r="AM29" s="4">
        <f t="shared" si="24"/>
        <v>7.455931761348818E-3</v>
      </c>
      <c r="AN29" s="42">
        <v>96</v>
      </c>
      <c r="AO29" s="4">
        <f t="shared" si="25"/>
        <v>3.5296712993602469E-3</v>
      </c>
      <c r="AP29" s="42">
        <v>390</v>
      </c>
      <c r="AQ29" s="4">
        <f t="shared" si="26"/>
        <v>1.0267210741082005E-2</v>
      </c>
    </row>
    <row r="30" spans="1:43" x14ac:dyDescent="0.35">
      <c r="A30" s="35" t="s">
        <v>61</v>
      </c>
      <c r="B30" s="39">
        <f t="shared" si="0"/>
        <v>65027</v>
      </c>
      <c r="C30" s="1">
        <f t="shared" si="1"/>
        <v>27270</v>
      </c>
      <c r="D30" s="1">
        <f t="shared" si="2"/>
        <v>37757</v>
      </c>
      <c r="E30" s="39">
        <v>27268</v>
      </c>
      <c r="F30" s="1">
        <f t="shared" si="3"/>
        <v>14371</v>
      </c>
      <c r="G30" s="1">
        <v>12897</v>
      </c>
      <c r="H30" s="39">
        <v>37759</v>
      </c>
      <c r="I30" s="1">
        <f t="shared" si="4"/>
        <v>12899</v>
      </c>
      <c r="J30" s="3">
        <v>24860</v>
      </c>
      <c r="K30" s="68">
        <f t="shared" si="5"/>
        <v>999</v>
      </c>
      <c r="L30" s="4">
        <f t="shared" si="27"/>
        <v>1.5505921430456175E-2</v>
      </c>
      <c r="M30" s="42">
        <v>421</v>
      </c>
      <c r="N30" s="4">
        <f t="shared" si="12"/>
        <v>1.5782567947516399E-2</v>
      </c>
      <c r="O30" s="42">
        <v>578</v>
      </c>
      <c r="P30" s="5">
        <f t="shared" si="13"/>
        <v>1.5310447128628947E-2</v>
      </c>
      <c r="Q30" s="68">
        <f t="shared" si="6"/>
        <v>995</v>
      </c>
      <c r="R30" s="4">
        <f t="shared" si="14"/>
        <v>1.5443835658962858E-2</v>
      </c>
      <c r="S30" s="42">
        <v>553</v>
      </c>
      <c r="T30" s="4">
        <f t="shared" si="15"/>
        <v>2.0731021555763823E-2</v>
      </c>
      <c r="U30" s="42">
        <v>442</v>
      </c>
      <c r="V30" s="5">
        <f t="shared" si="16"/>
        <v>1.1707988980716254E-2</v>
      </c>
      <c r="W30" s="75">
        <f t="shared" si="7"/>
        <v>4</v>
      </c>
      <c r="X30" s="1">
        <f t="shared" si="17"/>
        <v>-132</v>
      </c>
      <c r="Y30" s="3">
        <f t="shared" si="8"/>
        <v>136</v>
      </c>
      <c r="Z30" s="68">
        <f t="shared" si="9"/>
        <v>486</v>
      </c>
      <c r="AA30" s="4">
        <f t="shared" si="18"/>
        <v>7.5434212364381397E-3</v>
      </c>
      <c r="AB30" s="42">
        <v>247</v>
      </c>
      <c r="AC30" s="4">
        <f t="shared" si="19"/>
        <v>9.259606373008435E-3</v>
      </c>
      <c r="AD30" s="42">
        <v>239</v>
      </c>
      <c r="AE30" s="5">
        <f t="shared" si="20"/>
        <v>6.3307904216995123E-3</v>
      </c>
      <c r="AF30" s="68">
        <f t="shared" si="10"/>
        <v>470</v>
      </c>
      <c r="AG30" s="4">
        <f t="shared" si="21"/>
        <v>7.2950781504648671E-3</v>
      </c>
      <c r="AH30" s="42">
        <v>79</v>
      </c>
      <c r="AI30" s="4">
        <f t="shared" si="22"/>
        <v>2.9615745079662604E-3</v>
      </c>
      <c r="AJ30" s="42">
        <v>391</v>
      </c>
      <c r="AK30" s="4">
        <f t="shared" si="23"/>
        <v>1.0357067175248993E-2</v>
      </c>
      <c r="AL30" s="42">
        <f t="shared" si="11"/>
        <v>536</v>
      </c>
      <c r="AM30" s="4">
        <f t="shared" si="24"/>
        <v>8.3194933801046152E-3</v>
      </c>
      <c r="AN30" s="42">
        <v>95</v>
      </c>
      <c r="AO30" s="4">
        <f t="shared" si="25"/>
        <v>3.5613870665417058E-3</v>
      </c>
      <c r="AP30" s="42">
        <v>441</v>
      </c>
      <c r="AQ30" s="4">
        <f t="shared" si="26"/>
        <v>1.1681500317863955E-2</v>
      </c>
    </row>
    <row r="31" spans="1:43" x14ac:dyDescent="0.35">
      <c r="A31" s="35" t="s">
        <v>62</v>
      </c>
      <c r="B31" s="39">
        <f t="shared" si="0"/>
        <v>65599</v>
      </c>
      <c r="C31" s="1">
        <f t="shared" si="1"/>
        <v>27375</v>
      </c>
      <c r="D31" s="2">
        <f t="shared" si="2"/>
        <v>38224</v>
      </c>
      <c r="E31" s="39">
        <v>27373</v>
      </c>
      <c r="F31" s="1">
        <f t="shared" si="3"/>
        <v>14476</v>
      </c>
      <c r="G31" s="2">
        <v>12897</v>
      </c>
      <c r="H31" s="39">
        <v>38226</v>
      </c>
      <c r="I31" s="1">
        <f t="shared" si="4"/>
        <v>12899</v>
      </c>
      <c r="J31" s="3">
        <v>25327</v>
      </c>
      <c r="K31" s="68">
        <f t="shared" si="5"/>
        <v>1537</v>
      </c>
      <c r="L31" s="4">
        <f t="shared" si="27"/>
        <v>2.3636335675949988E-2</v>
      </c>
      <c r="M31" s="42">
        <v>586</v>
      </c>
      <c r="N31" s="4">
        <f t="shared" si="12"/>
        <v>2.1490391667889099E-2</v>
      </c>
      <c r="O31" s="42">
        <v>951</v>
      </c>
      <c r="P31" s="5">
        <f t="shared" si="13"/>
        <v>2.518604835933155E-2</v>
      </c>
      <c r="Q31" s="68">
        <f t="shared" si="6"/>
        <v>1086</v>
      </c>
      <c r="R31" s="4">
        <f t="shared" si="14"/>
        <v>1.6700755070970519E-2</v>
      </c>
      <c r="S31" s="42">
        <v>589</v>
      </c>
      <c r="T31" s="4">
        <f t="shared" si="15"/>
        <v>2.1600410737861231E-2</v>
      </c>
      <c r="U31" s="42">
        <v>497</v>
      </c>
      <c r="V31" s="5">
        <f t="shared" si="16"/>
        <v>1.3162424852353081E-2</v>
      </c>
      <c r="W31" s="75">
        <f t="shared" si="7"/>
        <v>451</v>
      </c>
      <c r="X31" s="1">
        <f t="shared" si="17"/>
        <v>-3</v>
      </c>
      <c r="Y31" s="3">
        <f t="shared" si="8"/>
        <v>454</v>
      </c>
      <c r="Z31" s="68">
        <f t="shared" si="9"/>
        <v>521</v>
      </c>
      <c r="AA31" s="4">
        <f t="shared" si="18"/>
        <v>8.0120565303643098E-3</v>
      </c>
      <c r="AB31" s="42">
        <v>270</v>
      </c>
      <c r="AC31" s="4">
        <f t="shared" si="19"/>
        <v>9.9017162974915657E-3</v>
      </c>
      <c r="AD31" s="42">
        <v>251</v>
      </c>
      <c r="AE31" s="5">
        <f t="shared" si="20"/>
        <v>6.6474218067215764E-3</v>
      </c>
      <c r="AF31" s="68">
        <f t="shared" si="10"/>
        <v>536</v>
      </c>
      <c r="AG31" s="4">
        <f t="shared" si="21"/>
        <v>8.2427299429467752E-3</v>
      </c>
      <c r="AH31" s="42">
        <v>86</v>
      </c>
      <c r="AI31" s="4">
        <f t="shared" si="22"/>
        <v>3.1538800058676839E-3</v>
      </c>
      <c r="AJ31" s="42">
        <v>450</v>
      </c>
      <c r="AK31" s="4">
        <f t="shared" si="23"/>
        <v>1.1917688498106411E-2</v>
      </c>
      <c r="AL31" s="42">
        <f t="shared" si="11"/>
        <v>691</v>
      </c>
      <c r="AM31" s="4">
        <f t="shared" si="24"/>
        <v>1.0626355206298921E-2</v>
      </c>
      <c r="AN31" s="42">
        <v>133</v>
      </c>
      <c r="AO31" s="4">
        <f t="shared" si="25"/>
        <v>4.8775121020976971E-3</v>
      </c>
      <c r="AP31" s="42">
        <v>558</v>
      </c>
      <c r="AQ31" s="4">
        <f t="shared" si="26"/>
        <v>1.477793373765195E-2</v>
      </c>
    </row>
    <row r="32" spans="1:43" x14ac:dyDescent="0.35">
      <c r="A32" s="35" t="s">
        <v>63</v>
      </c>
      <c r="B32" s="39">
        <f t="shared" si="0"/>
        <v>65892</v>
      </c>
      <c r="C32" s="1">
        <f t="shared" si="1"/>
        <v>27519</v>
      </c>
      <c r="D32" s="2">
        <f t="shared" si="2"/>
        <v>38373</v>
      </c>
      <c r="E32" s="39">
        <v>27463</v>
      </c>
      <c r="F32" s="1">
        <f t="shared" si="3"/>
        <v>14486</v>
      </c>
      <c r="G32" s="2">
        <v>12977</v>
      </c>
      <c r="H32" s="39">
        <v>38429</v>
      </c>
      <c r="I32" s="1">
        <f t="shared" si="4"/>
        <v>13033</v>
      </c>
      <c r="J32" s="3">
        <v>25396</v>
      </c>
      <c r="K32" s="68">
        <f t="shared" si="5"/>
        <v>1285</v>
      </c>
      <c r="L32" s="4">
        <f t="shared" si="27"/>
        <v>1.9588713242579919E-2</v>
      </c>
      <c r="M32" s="42">
        <v>722</v>
      </c>
      <c r="N32" s="4">
        <f t="shared" si="12"/>
        <v>2.6376356263471304E-2</v>
      </c>
      <c r="O32" s="42">
        <v>563</v>
      </c>
      <c r="P32" s="5">
        <f t="shared" si="13"/>
        <v>1.4728195469052477E-2</v>
      </c>
      <c r="Q32" s="68">
        <f t="shared" si="6"/>
        <v>1371</v>
      </c>
      <c r="R32" s="4">
        <f t="shared" si="14"/>
        <v>2.0899708837024956E-2</v>
      </c>
      <c r="S32" s="42">
        <v>866</v>
      </c>
      <c r="T32" s="4">
        <f t="shared" si="15"/>
        <v>3.1637014576407406E-2</v>
      </c>
      <c r="U32" s="42">
        <v>505</v>
      </c>
      <c r="V32" s="5">
        <f t="shared" si="16"/>
        <v>1.3210903573484017E-2</v>
      </c>
      <c r="W32" s="75">
        <f t="shared" si="7"/>
        <v>-86</v>
      </c>
      <c r="X32" s="1">
        <f t="shared" si="17"/>
        <v>-144</v>
      </c>
      <c r="Y32" s="3">
        <f t="shared" si="8"/>
        <v>58</v>
      </c>
      <c r="Z32" s="68">
        <f t="shared" si="9"/>
        <v>711</v>
      </c>
      <c r="AA32" s="4">
        <f t="shared" si="18"/>
        <v>1.083857985640025E-2</v>
      </c>
      <c r="AB32" s="42">
        <v>388</v>
      </c>
      <c r="AC32" s="4">
        <f t="shared" si="19"/>
        <v>1.4174551565411172E-2</v>
      </c>
      <c r="AD32" s="42">
        <v>323</v>
      </c>
      <c r="AE32" s="5">
        <f t="shared" si="20"/>
        <v>8.4497462460105689E-3</v>
      </c>
      <c r="AF32" s="68">
        <f t="shared" si="10"/>
        <v>433</v>
      </c>
      <c r="AG32" s="4">
        <f t="shared" si="21"/>
        <v>6.6007103766825715E-3</v>
      </c>
      <c r="AH32" s="42">
        <v>66</v>
      </c>
      <c r="AI32" s="4">
        <f t="shared" si="22"/>
        <v>2.4111350600957149E-3</v>
      </c>
      <c r="AJ32" s="42">
        <v>367</v>
      </c>
      <c r="AK32" s="4">
        <f t="shared" si="23"/>
        <v>9.6007952702349183E-3</v>
      </c>
      <c r="AL32" s="42">
        <f t="shared" si="11"/>
        <v>553</v>
      </c>
      <c r="AM32" s="4">
        <f t="shared" si="24"/>
        <v>8.4300065549779719E-3</v>
      </c>
      <c r="AN32" s="42">
        <v>86</v>
      </c>
      <c r="AO32" s="4">
        <f t="shared" si="25"/>
        <v>3.1417820480035071E-3</v>
      </c>
      <c r="AP32" s="42">
        <v>467</v>
      </c>
      <c r="AQ32" s="4">
        <f t="shared" si="26"/>
        <v>1.2216815779835714E-2</v>
      </c>
    </row>
    <row r="33" spans="1:43" x14ac:dyDescent="0.35">
      <c r="A33" s="36" t="s">
        <v>64</v>
      </c>
      <c r="B33" s="39">
        <f t="shared" si="0"/>
        <v>65561</v>
      </c>
      <c r="C33" s="1">
        <f t="shared" si="1"/>
        <v>27035</v>
      </c>
      <c r="D33" s="2">
        <f t="shared" si="2"/>
        <v>38526</v>
      </c>
      <c r="E33" s="39">
        <v>27140</v>
      </c>
      <c r="F33" s="1">
        <f t="shared" si="3"/>
        <v>14089</v>
      </c>
      <c r="G33" s="2">
        <v>13051</v>
      </c>
      <c r="H33" s="39">
        <v>38421</v>
      </c>
      <c r="I33" s="3">
        <f t="shared" si="4"/>
        <v>12946</v>
      </c>
      <c r="J33" s="3">
        <v>25475</v>
      </c>
      <c r="K33" s="69">
        <f t="shared" si="5"/>
        <v>1275</v>
      </c>
      <c r="L33" s="4">
        <f t="shared" si="27"/>
        <v>1.9349845201238391E-2</v>
      </c>
      <c r="M33" s="43">
        <v>541</v>
      </c>
      <c r="N33" s="4">
        <f t="shared" si="12"/>
        <v>1.9699231693551325E-2</v>
      </c>
      <c r="O33" s="43">
        <v>734</v>
      </c>
      <c r="P33" s="5">
        <f t="shared" si="13"/>
        <v>1.9100158734289208E-2</v>
      </c>
      <c r="Q33" s="69">
        <f t="shared" si="6"/>
        <v>1216</v>
      </c>
      <c r="R33" s="4">
        <f t="shared" si="14"/>
        <v>1.845444059976932E-2</v>
      </c>
      <c r="S33" s="43">
        <v>708</v>
      </c>
      <c r="T33" s="4">
        <f t="shared" si="15"/>
        <v>2.5780140552743691E-2</v>
      </c>
      <c r="U33" s="43">
        <v>508</v>
      </c>
      <c r="V33" s="5">
        <f t="shared" si="16"/>
        <v>1.3219183429181087E-2</v>
      </c>
      <c r="W33" s="75">
        <f t="shared" si="7"/>
        <v>59</v>
      </c>
      <c r="X33" s="1">
        <f t="shared" si="17"/>
        <v>-167</v>
      </c>
      <c r="Y33" s="3">
        <f t="shared" si="8"/>
        <v>226</v>
      </c>
      <c r="Z33" s="69">
        <f t="shared" si="9"/>
        <v>579</v>
      </c>
      <c r="AA33" s="4">
        <f t="shared" si="18"/>
        <v>8.7871061737388456E-3</v>
      </c>
      <c r="AB33" s="43">
        <v>301</v>
      </c>
      <c r="AC33" s="4">
        <f t="shared" si="19"/>
        <v>1.0960200997706004E-2</v>
      </c>
      <c r="AD33" s="43">
        <v>278</v>
      </c>
      <c r="AE33" s="5">
        <f t="shared" si="20"/>
        <v>7.2341200655754766E-3</v>
      </c>
      <c r="AF33" s="69">
        <f t="shared" si="10"/>
        <v>418</v>
      </c>
      <c r="AG33" s="4">
        <f t="shared" si="21"/>
        <v>6.3437139561707033E-3</v>
      </c>
      <c r="AH33" s="43">
        <v>77</v>
      </c>
      <c r="AI33" s="4">
        <f t="shared" si="22"/>
        <v>2.8037723482503734E-3</v>
      </c>
      <c r="AJ33" s="43">
        <v>341</v>
      </c>
      <c r="AK33" s="4">
        <f t="shared" si="23"/>
        <v>8.873506986910926E-3</v>
      </c>
      <c r="AL33" s="43">
        <f t="shared" si="11"/>
        <v>563</v>
      </c>
      <c r="AM33" s="4">
        <f t="shared" si="24"/>
        <v>8.5442845868997763E-3</v>
      </c>
      <c r="AN33" s="43">
        <v>96</v>
      </c>
      <c r="AO33" s="4">
        <f t="shared" si="25"/>
        <v>3.4956122783381277E-3</v>
      </c>
      <c r="AP33" s="43">
        <v>467</v>
      </c>
      <c r="AQ33" s="4">
        <f t="shared" si="26"/>
        <v>1.2152280829581827E-2</v>
      </c>
    </row>
    <row r="34" spans="1:43" x14ac:dyDescent="0.35">
      <c r="A34" s="37" t="s">
        <v>65</v>
      </c>
      <c r="B34" s="39">
        <f t="shared" si="0"/>
        <v>66006</v>
      </c>
      <c r="C34" s="1">
        <f t="shared" si="1"/>
        <v>27125</v>
      </c>
      <c r="D34" s="1">
        <f t="shared" si="2"/>
        <v>38881</v>
      </c>
      <c r="E34" s="39">
        <v>27418</v>
      </c>
      <c r="F34" s="1">
        <f t="shared" si="3"/>
        <v>14186</v>
      </c>
      <c r="G34" s="1">
        <v>13232</v>
      </c>
      <c r="H34" s="39">
        <v>38588</v>
      </c>
      <c r="I34" s="1">
        <f t="shared" si="4"/>
        <v>12939</v>
      </c>
      <c r="J34" s="3">
        <v>25649</v>
      </c>
      <c r="K34" s="68">
        <f t="shared" si="5"/>
        <v>1343</v>
      </c>
      <c r="L34" s="4">
        <f t="shared" si="27"/>
        <v>2.0484739402998733E-2</v>
      </c>
      <c r="M34" s="42">
        <v>545</v>
      </c>
      <c r="N34" s="4">
        <f t="shared" si="12"/>
        <v>2.0081061164333086E-2</v>
      </c>
      <c r="O34" s="42">
        <v>798</v>
      </c>
      <c r="P34" s="5">
        <f t="shared" si="13"/>
        <v>2.0769891465604748E-2</v>
      </c>
      <c r="Q34" s="68">
        <f t="shared" si="6"/>
        <v>1017</v>
      </c>
      <c r="R34" s="4">
        <f t="shared" si="14"/>
        <v>1.5512271014780128E-2</v>
      </c>
      <c r="S34" s="42">
        <v>534</v>
      </c>
      <c r="T34" s="4">
        <f t="shared" si="15"/>
        <v>1.9675755342667651E-2</v>
      </c>
      <c r="U34" s="42">
        <v>483</v>
      </c>
      <c r="V34" s="5">
        <f t="shared" si="16"/>
        <v>1.2571250097602873E-2</v>
      </c>
      <c r="W34" s="75">
        <f t="shared" si="7"/>
        <v>326</v>
      </c>
      <c r="X34" s="1">
        <f t="shared" si="17"/>
        <v>11</v>
      </c>
      <c r="Y34" s="3">
        <f t="shared" si="8"/>
        <v>315</v>
      </c>
      <c r="Z34" s="68">
        <f t="shared" si="9"/>
        <v>494</v>
      </c>
      <c r="AA34" s="4">
        <f t="shared" si="18"/>
        <v>7.5349674349079482E-3</v>
      </c>
      <c r="AB34" s="42">
        <v>264</v>
      </c>
      <c r="AC34" s="4">
        <f t="shared" si="19"/>
        <v>9.7273397199705239E-3</v>
      </c>
      <c r="AD34" s="42">
        <v>230</v>
      </c>
      <c r="AE34" s="5">
        <f t="shared" si="20"/>
        <v>5.9863095702870827E-3</v>
      </c>
      <c r="AF34" s="68">
        <f t="shared" si="10"/>
        <v>426</v>
      </c>
      <c r="AG34" s="4">
        <f t="shared" si="21"/>
        <v>6.4977654398194048E-3</v>
      </c>
      <c r="AH34" s="42">
        <v>81</v>
      </c>
      <c r="AI34" s="4">
        <f t="shared" si="22"/>
        <v>2.9845246868091379E-3</v>
      </c>
      <c r="AJ34" s="42">
        <v>345</v>
      </c>
      <c r="AK34" s="4">
        <f t="shared" si="23"/>
        <v>8.9794643554306237E-3</v>
      </c>
      <c r="AL34" s="42">
        <f t="shared" si="11"/>
        <v>594</v>
      </c>
      <c r="AM34" s="4">
        <f t="shared" si="24"/>
        <v>9.0602644865087484E-3</v>
      </c>
      <c r="AN34" s="42">
        <v>107</v>
      </c>
      <c r="AO34" s="4">
        <f t="shared" si="25"/>
        <v>3.9425202652910831E-3</v>
      </c>
      <c r="AP34" s="42">
        <v>487</v>
      </c>
      <c r="AQ34" s="4">
        <f t="shared" si="26"/>
        <v>1.267535982926004E-2</v>
      </c>
    </row>
    <row r="35" spans="1:43" x14ac:dyDescent="0.35">
      <c r="A35" s="37" t="s">
        <v>66</v>
      </c>
      <c r="B35" s="39">
        <f t="shared" si="0"/>
        <v>66042</v>
      </c>
      <c r="C35" s="1">
        <f t="shared" si="1"/>
        <v>26356</v>
      </c>
      <c r="D35" s="1">
        <f t="shared" si="2"/>
        <v>39686</v>
      </c>
      <c r="E35" s="39">
        <v>27654</v>
      </c>
      <c r="F35" s="1">
        <f t="shared" si="3"/>
        <v>14271</v>
      </c>
      <c r="G35" s="1">
        <v>13383</v>
      </c>
      <c r="H35" s="39">
        <v>38388</v>
      </c>
      <c r="I35" s="1">
        <f t="shared" si="4"/>
        <v>12085</v>
      </c>
      <c r="J35" s="3">
        <v>26303</v>
      </c>
      <c r="K35" s="68">
        <f t="shared" si="5"/>
        <v>1846</v>
      </c>
      <c r="L35" s="4">
        <f t="shared" si="27"/>
        <v>2.796715450110596E-2</v>
      </c>
      <c r="M35" s="42">
        <v>699</v>
      </c>
      <c r="N35" s="4">
        <f t="shared" si="12"/>
        <v>2.5494200889926325E-2</v>
      </c>
      <c r="O35" s="42">
        <v>1147</v>
      </c>
      <c r="P35" s="5">
        <f t="shared" si="13"/>
        <v>2.9724266611381778E-2</v>
      </c>
      <c r="Q35" s="68">
        <f t="shared" si="6"/>
        <v>998</v>
      </c>
      <c r="R35" s="4">
        <f t="shared" si="14"/>
        <v>1.5119837590522075E-2</v>
      </c>
      <c r="S35" s="42">
        <v>521</v>
      </c>
      <c r="T35" s="4">
        <f t="shared" si="15"/>
        <v>1.9002115398643226E-2</v>
      </c>
      <c r="U35" s="42">
        <v>477</v>
      </c>
      <c r="V35" s="5">
        <f t="shared" si="16"/>
        <v>1.2361355861925988E-2</v>
      </c>
      <c r="W35" s="75">
        <f t="shared" si="7"/>
        <v>848</v>
      </c>
      <c r="X35" s="1">
        <f t="shared" si="17"/>
        <v>178</v>
      </c>
      <c r="Y35" s="3">
        <f t="shared" si="8"/>
        <v>670</v>
      </c>
      <c r="Z35" s="68">
        <f t="shared" si="9"/>
        <v>489</v>
      </c>
      <c r="AA35" s="4">
        <f t="shared" si="18"/>
        <v>7.4084174165984914E-3</v>
      </c>
      <c r="AB35" s="42">
        <v>252</v>
      </c>
      <c r="AC35" s="4">
        <f t="shared" si="19"/>
        <v>9.1910423809176446E-3</v>
      </c>
      <c r="AD35" s="42">
        <v>237</v>
      </c>
      <c r="AE35" s="5">
        <f t="shared" si="20"/>
        <v>6.1418057427179438E-3</v>
      </c>
      <c r="AF35" s="68">
        <f t="shared" si="10"/>
        <v>469</v>
      </c>
      <c r="AG35" s="4">
        <f t="shared" si="21"/>
        <v>7.1054146592733998E-3</v>
      </c>
      <c r="AH35" s="42">
        <v>79</v>
      </c>
      <c r="AI35" s="4">
        <f t="shared" si="22"/>
        <v>2.8813188416368807E-3</v>
      </c>
      <c r="AJ35" s="42">
        <v>390</v>
      </c>
      <c r="AK35" s="4">
        <f t="shared" si="23"/>
        <v>1.0106768943713072E-2</v>
      </c>
      <c r="AL35" s="42">
        <f t="shared" si="11"/>
        <v>744</v>
      </c>
      <c r="AM35" s="4">
        <f t="shared" si="24"/>
        <v>1.127170257249341E-2</v>
      </c>
      <c r="AN35" s="42">
        <v>129</v>
      </c>
      <c r="AO35" s="4">
        <f t="shared" si="25"/>
        <v>4.7049383616602231E-3</v>
      </c>
      <c r="AP35" s="42">
        <v>615</v>
      </c>
      <c r="AQ35" s="4">
        <f t="shared" si="26"/>
        <v>1.5937597180470612E-2</v>
      </c>
    </row>
    <row r="36" spans="1:43" x14ac:dyDescent="0.35">
      <c r="A36" s="47" t="s">
        <v>67</v>
      </c>
      <c r="B36" s="39">
        <f t="shared" si="0"/>
        <v>67379</v>
      </c>
      <c r="C36" s="1">
        <f t="shared" si="1"/>
        <v>27500</v>
      </c>
      <c r="D36" s="2">
        <f t="shared" si="2"/>
        <v>39879</v>
      </c>
      <c r="E36" s="39">
        <v>27813</v>
      </c>
      <c r="F36" s="1">
        <f t="shared" si="3"/>
        <v>14322</v>
      </c>
      <c r="G36" s="2">
        <v>13491</v>
      </c>
      <c r="H36" s="39">
        <v>39566</v>
      </c>
      <c r="I36" s="1">
        <f t="shared" si="4"/>
        <v>13178</v>
      </c>
      <c r="J36" s="3">
        <v>26388</v>
      </c>
      <c r="K36" s="68">
        <f t="shared" si="5"/>
        <v>1138</v>
      </c>
      <c r="L36" s="4">
        <f t="shared" si="27"/>
        <v>1.7231458768662368E-2</v>
      </c>
      <c r="M36" s="42">
        <v>415</v>
      </c>
      <c r="N36" s="4">
        <f t="shared" si="12"/>
        <v>1.5006870615462501E-2</v>
      </c>
      <c r="O36" s="42">
        <v>723</v>
      </c>
      <c r="P36" s="5">
        <f t="shared" si="13"/>
        <v>1.8834010628321352E-2</v>
      </c>
      <c r="Q36" s="68">
        <f t="shared" si="6"/>
        <v>1052</v>
      </c>
      <c r="R36" s="4">
        <f t="shared" si="14"/>
        <v>1.5929257139396143E-2</v>
      </c>
      <c r="S36" s="42">
        <v>584</v>
      </c>
      <c r="T36" s="4">
        <f t="shared" si="15"/>
        <v>2.1118102263686989E-2</v>
      </c>
      <c r="U36" s="42">
        <v>468</v>
      </c>
      <c r="V36" s="5">
        <f t="shared" si="16"/>
        <v>1.2191309784307595E-2</v>
      </c>
      <c r="W36" s="75">
        <f t="shared" si="7"/>
        <v>86</v>
      </c>
      <c r="X36" s="1">
        <f t="shared" si="17"/>
        <v>-169</v>
      </c>
      <c r="Y36" s="3">
        <f t="shared" si="8"/>
        <v>255</v>
      </c>
      <c r="Z36" s="68">
        <f t="shared" si="9"/>
        <v>622</v>
      </c>
      <c r="AA36" s="4">
        <f t="shared" si="18"/>
        <v>9.4182489930650197E-3</v>
      </c>
      <c r="AB36" s="42">
        <v>331</v>
      </c>
      <c r="AC36" s="4">
        <f t="shared" si="19"/>
        <v>1.1969335358356838E-2</v>
      </c>
      <c r="AD36" s="42">
        <v>291</v>
      </c>
      <c r="AE36" s="5">
        <f t="shared" si="20"/>
        <v>7.5804939043451081E-3</v>
      </c>
      <c r="AF36" s="68">
        <f t="shared" si="10"/>
        <v>295</v>
      </c>
      <c r="AG36" s="4">
        <f t="shared" si="21"/>
        <v>4.4668544259713512E-3</v>
      </c>
      <c r="AH36" s="42">
        <v>65</v>
      </c>
      <c r="AI36" s="4">
        <f t="shared" si="22"/>
        <v>2.3504737108555724E-3</v>
      </c>
      <c r="AJ36" s="42">
        <v>230</v>
      </c>
      <c r="AK36" s="4">
        <f t="shared" si="23"/>
        <v>5.9914556632280919E-3</v>
      </c>
      <c r="AL36" s="42">
        <f t="shared" si="11"/>
        <v>584</v>
      </c>
      <c r="AM36" s="4">
        <f t="shared" si="24"/>
        <v>8.8428575754822686E-3</v>
      </c>
      <c r="AN36" s="42">
        <v>110</v>
      </c>
      <c r="AO36" s="4">
        <f t="shared" si="25"/>
        <v>3.977724741447892E-3</v>
      </c>
      <c r="AP36" s="42">
        <v>474</v>
      </c>
      <c r="AQ36" s="4">
        <f t="shared" si="26"/>
        <v>1.2347608627696155E-2</v>
      </c>
    </row>
    <row r="37" spans="1:43" x14ac:dyDescent="0.35">
      <c r="A37" s="37" t="s">
        <v>68</v>
      </c>
      <c r="B37" s="39">
        <f t="shared" si="0"/>
        <v>67670</v>
      </c>
      <c r="C37" s="1">
        <f t="shared" si="1"/>
        <v>27518</v>
      </c>
      <c r="D37" s="2">
        <f t="shared" si="2"/>
        <v>40152</v>
      </c>
      <c r="E37" s="39">
        <v>28167</v>
      </c>
      <c r="F37" s="1">
        <f t="shared" si="3"/>
        <v>14372</v>
      </c>
      <c r="G37" s="2">
        <v>13795</v>
      </c>
      <c r="H37" s="39">
        <v>39503</v>
      </c>
      <c r="I37" s="1">
        <f t="shared" si="4"/>
        <v>13146</v>
      </c>
      <c r="J37" s="3">
        <v>26357</v>
      </c>
      <c r="K37" s="68">
        <f t="shared" si="5"/>
        <v>1804</v>
      </c>
      <c r="L37" s="4">
        <f t="shared" si="27"/>
        <v>2.6773920657771708E-2</v>
      </c>
      <c r="M37" s="42">
        <v>977</v>
      </c>
      <c r="N37" s="4">
        <f t="shared" si="12"/>
        <v>3.5127458382770649E-2</v>
      </c>
      <c r="O37" s="42">
        <v>827</v>
      </c>
      <c r="P37" s="5">
        <f t="shared" si="13"/>
        <v>2.0901784360309355E-2</v>
      </c>
      <c r="Q37" s="68">
        <f t="shared" si="6"/>
        <v>1083</v>
      </c>
      <c r="R37" s="4">
        <f t="shared" si="14"/>
        <v>1.6073257246323039E-2</v>
      </c>
      <c r="S37" s="42">
        <v>585</v>
      </c>
      <c r="T37" s="4">
        <f t="shared" si="15"/>
        <v>2.1033329737892351E-2</v>
      </c>
      <c r="U37" s="42">
        <v>498</v>
      </c>
      <c r="V37" s="5">
        <f t="shared" si="16"/>
        <v>1.2586564221806602E-2</v>
      </c>
      <c r="W37" s="75">
        <f t="shared" si="7"/>
        <v>721</v>
      </c>
      <c r="X37" s="1">
        <f t="shared" si="17"/>
        <v>392</v>
      </c>
      <c r="Y37" s="3">
        <f t="shared" si="8"/>
        <v>329</v>
      </c>
      <c r="Z37" s="68">
        <f t="shared" si="9"/>
        <v>650</v>
      </c>
      <c r="AA37" s="4">
        <f t="shared" si="18"/>
        <v>9.6469226316804931E-3</v>
      </c>
      <c r="AB37" s="42">
        <v>331</v>
      </c>
      <c r="AC37" s="4">
        <f t="shared" si="19"/>
        <v>1.1900909646568151E-2</v>
      </c>
      <c r="AD37" s="42">
        <v>319</v>
      </c>
      <c r="AE37" s="5">
        <f t="shared" si="20"/>
        <v>8.0624778850528229E-3</v>
      </c>
      <c r="AF37" s="68">
        <f t="shared" si="10"/>
        <v>314</v>
      </c>
      <c r="AG37" s="4">
        <f t="shared" si="21"/>
        <v>4.6602057020733462E-3</v>
      </c>
      <c r="AH37" s="42">
        <v>88</v>
      </c>
      <c r="AI37" s="4">
        <f t="shared" si="22"/>
        <v>3.1639880631359435E-3</v>
      </c>
      <c r="AJ37" s="42">
        <v>226</v>
      </c>
      <c r="AK37" s="4">
        <f t="shared" si="23"/>
        <v>5.711974927968458E-3</v>
      </c>
      <c r="AL37" s="42">
        <f t="shared" si="11"/>
        <v>624</v>
      </c>
      <c r="AM37" s="4">
        <f t="shared" si="24"/>
        <v>9.261045726413274E-3</v>
      </c>
      <c r="AN37" s="42">
        <v>138</v>
      </c>
      <c r="AO37" s="4">
        <f t="shared" si="25"/>
        <v>4.9617085535540936E-3</v>
      </c>
      <c r="AP37" s="42">
        <v>486</v>
      </c>
      <c r="AQ37" s="4">
        <f t="shared" si="26"/>
        <v>1.2283273517666683E-2</v>
      </c>
    </row>
    <row r="38" spans="1:43" x14ac:dyDescent="0.35">
      <c r="A38" s="48" t="s">
        <v>90</v>
      </c>
      <c r="B38" s="40">
        <f t="shared" si="0"/>
        <v>69330</v>
      </c>
      <c r="C38" s="12">
        <f t="shared" si="1"/>
        <v>28240</v>
      </c>
      <c r="D38" s="13">
        <f t="shared" si="2"/>
        <v>41090</v>
      </c>
      <c r="E38" s="40">
        <v>29868</v>
      </c>
      <c r="F38" s="12">
        <f t="shared" si="3"/>
        <v>15088</v>
      </c>
      <c r="G38" s="13">
        <v>14780</v>
      </c>
      <c r="H38" s="40">
        <v>39462</v>
      </c>
      <c r="I38" s="12">
        <f t="shared" si="4"/>
        <v>13152</v>
      </c>
      <c r="J38" s="72">
        <v>26310</v>
      </c>
      <c r="K38" s="70">
        <f t="shared" si="5"/>
        <v>2893</v>
      </c>
      <c r="L38" s="14">
        <f t="shared" si="27"/>
        <v>4.2751588591694992E-2</v>
      </c>
      <c r="M38" s="44">
        <v>2249</v>
      </c>
      <c r="N38" s="14">
        <f t="shared" si="12"/>
        <v>7.9845208932438669E-2</v>
      </c>
      <c r="O38" s="42">
        <v>644</v>
      </c>
      <c r="P38" s="15">
        <f t="shared" si="13"/>
        <v>1.6302559299293723E-2</v>
      </c>
      <c r="Q38" s="70">
        <f t="shared" si="6"/>
        <v>1212</v>
      </c>
      <c r="R38" s="14">
        <f t="shared" si="14"/>
        <v>1.7910447761194031E-2</v>
      </c>
      <c r="S38" s="42">
        <v>752</v>
      </c>
      <c r="T38" s="14">
        <f t="shared" si="15"/>
        <v>2.6697908900486386E-2</v>
      </c>
      <c r="U38" s="42">
        <v>460</v>
      </c>
      <c r="V38" s="15">
        <f t="shared" si="16"/>
        <v>1.1644685213781232E-2</v>
      </c>
      <c r="W38" s="76">
        <f t="shared" si="7"/>
        <v>1681</v>
      </c>
      <c r="X38" s="12">
        <f t="shared" si="17"/>
        <v>1497</v>
      </c>
      <c r="Y38" s="72">
        <f t="shared" si="8"/>
        <v>184</v>
      </c>
      <c r="Z38" s="70">
        <f t="shared" si="9"/>
        <v>494</v>
      </c>
      <c r="AA38" s="14">
        <f t="shared" si="18"/>
        <v>7.3001329983744647E-3</v>
      </c>
      <c r="AB38" s="42">
        <v>209</v>
      </c>
      <c r="AC38" s="14">
        <f t="shared" si="19"/>
        <v>7.4200305321830513E-3</v>
      </c>
      <c r="AD38" s="42">
        <v>285</v>
      </c>
      <c r="AE38" s="15">
        <f t="shared" si="20"/>
        <v>7.2146419259296766E-3</v>
      </c>
      <c r="AF38" s="70">
        <f t="shared" si="10"/>
        <v>248</v>
      </c>
      <c r="AG38" s="4">
        <f t="shared" si="21"/>
        <v>3.6648440963499337E-3</v>
      </c>
      <c r="AH38" s="44">
        <v>67</v>
      </c>
      <c r="AI38" s="4">
        <f t="shared" si="22"/>
        <v>2.378670074910356E-3</v>
      </c>
      <c r="AJ38" s="42">
        <v>181</v>
      </c>
      <c r="AK38" s="4">
        <f t="shared" si="23"/>
        <v>4.5819304862921807E-3</v>
      </c>
      <c r="AL38" s="44">
        <f t="shared" si="11"/>
        <v>476</v>
      </c>
      <c r="AM38" s="4">
        <f t="shared" si="24"/>
        <v>7.0341362494458397E-3</v>
      </c>
      <c r="AN38" s="42">
        <v>119</v>
      </c>
      <c r="AO38" s="4">
        <f t="shared" si="25"/>
        <v>4.2248020733482447E-3</v>
      </c>
      <c r="AP38" s="42">
        <v>357</v>
      </c>
      <c r="AQ38" s="4">
        <f t="shared" si="26"/>
        <v>9.0372883072171728E-3</v>
      </c>
    </row>
    <row r="39" spans="1:43" x14ac:dyDescent="0.35">
      <c r="A39" s="48" t="s">
        <v>134</v>
      </c>
      <c r="B39" s="40">
        <f t="shared" si="0"/>
        <v>70766</v>
      </c>
      <c r="C39" s="12">
        <f t="shared" si="1"/>
        <v>29588</v>
      </c>
      <c r="D39" s="13">
        <f t="shared" si="2"/>
        <v>41178</v>
      </c>
      <c r="E39" s="40">
        <v>30862</v>
      </c>
      <c r="F39" s="12">
        <f t="shared" si="3"/>
        <v>16255</v>
      </c>
      <c r="G39" s="13">
        <v>14607</v>
      </c>
      <c r="H39" s="40">
        <v>39904</v>
      </c>
      <c r="I39" s="12">
        <f t="shared" si="4"/>
        <v>13333</v>
      </c>
      <c r="J39" s="72">
        <v>26571</v>
      </c>
      <c r="K39" s="70">
        <f t="shared" si="5"/>
        <v>3050</v>
      </c>
      <c r="L39" s="14">
        <f t="shared" si="27"/>
        <v>4.3992499639405741E-2</v>
      </c>
      <c r="M39" s="44">
        <v>2011</v>
      </c>
      <c r="N39" s="14">
        <f t="shared" si="12"/>
        <v>6.7329583500736576E-2</v>
      </c>
      <c r="O39" s="44">
        <v>1039</v>
      </c>
      <c r="P39" s="15">
        <f t="shared" si="13"/>
        <v>2.6329126754852768E-2</v>
      </c>
      <c r="Q39" s="70">
        <f t="shared" si="6"/>
        <v>1677</v>
      </c>
      <c r="R39" s="14">
        <f t="shared" si="14"/>
        <v>2.4188662916486369E-2</v>
      </c>
      <c r="S39" s="44">
        <v>1233</v>
      </c>
      <c r="T39" s="14">
        <f t="shared" si="15"/>
        <v>4.1281639212535158E-2</v>
      </c>
      <c r="U39" s="44">
        <v>444</v>
      </c>
      <c r="V39" s="15">
        <f t="shared" si="16"/>
        <v>1.1251330393796563E-2</v>
      </c>
      <c r="W39" s="76">
        <f t="shared" si="7"/>
        <v>1373</v>
      </c>
      <c r="X39" s="12">
        <f t="shared" si="17"/>
        <v>778</v>
      </c>
      <c r="Y39" s="72">
        <f t="shared" si="8"/>
        <v>595</v>
      </c>
      <c r="Z39" s="70">
        <f t="shared" si="9"/>
        <v>453</v>
      </c>
      <c r="AA39" s="14">
        <f t="shared" si="18"/>
        <v>6.533967979229771E-3</v>
      </c>
      <c r="AB39" s="44">
        <v>209</v>
      </c>
      <c r="AC39" s="14">
        <f t="shared" si="19"/>
        <v>6.9974554707379136E-3</v>
      </c>
      <c r="AD39" s="44">
        <v>244</v>
      </c>
      <c r="AE39" s="15">
        <f t="shared" si="20"/>
        <v>6.1831635497440578E-3</v>
      </c>
      <c r="AF39" s="70">
        <f t="shared" si="10"/>
        <v>394</v>
      </c>
      <c r="AG39" s="4">
        <f t="shared" si="21"/>
        <v>5.6829655271888073E-3</v>
      </c>
      <c r="AH39" s="44">
        <v>102</v>
      </c>
      <c r="AI39" s="4">
        <f t="shared" si="22"/>
        <v>3.4150261149055844E-3</v>
      </c>
      <c r="AJ39" s="44">
        <v>292</v>
      </c>
      <c r="AK39" s="4">
        <f t="shared" si="23"/>
        <v>7.3995235923166591E-3</v>
      </c>
      <c r="AL39" s="44">
        <f t="shared" si="11"/>
        <v>732</v>
      </c>
      <c r="AM39" s="4">
        <f t="shared" si="24"/>
        <v>1.0558199913457378E-2</v>
      </c>
      <c r="AN39" s="44">
        <v>146</v>
      </c>
      <c r="AO39" s="4">
        <f t="shared" si="25"/>
        <v>4.8881746350609347E-3</v>
      </c>
      <c r="AP39" s="44">
        <v>586</v>
      </c>
      <c r="AQ39" s="4">
        <f t="shared" si="26"/>
        <v>1.4849728853073844E-2</v>
      </c>
    </row>
    <row r="40" spans="1:43" x14ac:dyDescent="0.35">
      <c r="A40" s="48" t="s">
        <v>135</v>
      </c>
      <c r="B40" s="40">
        <f t="shared" si="0"/>
        <v>70774</v>
      </c>
      <c r="C40" s="12">
        <f t="shared" si="1"/>
        <v>29658</v>
      </c>
      <c r="D40" s="13">
        <f t="shared" si="2"/>
        <v>41116</v>
      </c>
      <c r="E40" s="40">
        <v>30768</v>
      </c>
      <c r="F40" s="12">
        <f t="shared" si="3"/>
        <v>16176</v>
      </c>
      <c r="G40" s="13">
        <v>14592</v>
      </c>
      <c r="H40" s="40">
        <v>40006</v>
      </c>
      <c r="I40" s="12">
        <f t="shared" si="4"/>
        <v>13482</v>
      </c>
      <c r="J40" s="72">
        <v>26524</v>
      </c>
      <c r="K40" s="70">
        <f t="shared" si="5"/>
        <v>1309</v>
      </c>
      <c r="L40" s="14">
        <f t="shared" si="27"/>
        <v>1.8497583585337592E-2</v>
      </c>
      <c r="M40" s="44">
        <v>668</v>
      </c>
      <c r="N40" s="14">
        <f t="shared" si="12"/>
        <v>2.1644741105566717E-2</v>
      </c>
      <c r="O40" s="44">
        <v>641</v>
      </c>
      <c r="P40" s="15">
        <f t="shared" si="13"/>
        <v>1.6063552526062549E-2</v>
      </c>
      <c r="Q40" s="70">
        <f t="shared" si="6"/>
        <v>1421</v>
      </c>
      <c r="R40" s="14">
        <f t="shared" si="14"/>
        <v>2.0080264533815673E-2</v>
      </c>
      <c r="S40" s="44">
        <v>939</v>
      </c>
      <c r="T40" s="14">
        <f t="shared" si="15"/>
        <v>3.0425766314561595E-2</v>
      </c>
      <c r="U40" s="44">
        <v>482</v>
      </c>
      <c r="V40" s="15">
        <f t="shared" si="16"/>
        <v>1.2078989574979953E-2</v>
      </c>
      <c r="W40" s="76">
        <f t="shared" si="7"/>
        <v>-112</v>
      </c>
      <c r="X40" s="12">
        <f t="shared" si="17"/>
        <v>-271</v>
      </c>
      <c r="Y40" s="72">
        <f t="shared" si="8"/>
        <v>159</v>
      </c>
      <c r="Z40" s="70">
        <f t="shared" si="9"/>
        <v>665</v>
      </c>
      <c r="AA40" s="14">
        <f t="shared" si="18"/>
        <v>9.3971681315886159E-3</v>
      </c>
      <c r="AB40" s="44">
        <v>351</v>
      </c>
      <c r="AC40" s="14">
        <f t="shared" si="19"/>
        <v>1.1373209772535805E-2</v>
      </c>
      <c r="AD40" s="44">
        <v>314</v>
      </c>
      <c r="AE40" s="15">
        <f t="shared" si="20"/>
        <v>7.8688853247794715E-3</v>
      </c>
      <c r="AF40" s="70">
        <f t="shared" si="10"/>
        <v>264</v>
      </c>
      <c r="AG40" s="4">
        <f t="shared" si="21"/>
        <v>3.7306050928411949E-3</v>
      </c>
      <c r="AH40" s="44">
        <v>64</v>
      </c>
      <c r="AI40" s="4">
        <f t="shared" si="22"/>
        <v>2.0737476508327392E-3</v>
      </c>
      <c r="AJ40" s="44">
        <v>200</v>
      </c>
      <c r="AK40" s="4">
        <f t="shared" si="23"/>
        <v>5.012028869286287E-3</v>
      </c>
      <c r="AL40" s="44">
        <f t="shared" si="11"/>
        <v>564</v>
      </c>
      <c r="AM40" s="4">
        <f t="shared" si="24"/>
        <v>7.9699290619789157E-3</v>
      </c>
      <c r="AN40" s="44">
        <v>121</v>
      </c>
      <c r="AO40" s="4">
        <f t="shared" si="25"/>
        <v>3.9206791523556479E-3</v>
      </c>
      <c r="AP40" s="44">
        <v>443</v>
      </c>
      <c r="AQ40" s="4">
        <f t="shared" si="26"/>
        <v>1.1101643945469126E-2</v>
      </c>
    </row>
    <row r="41" spans="1:43" x14ac:dyDescent="0.35">
      <c r="A41" s="48" t="s">
        <v>136</v>
      </c>
      <c r="B41" s="40">
        <f t="shared" si="0"/>
        <v>70265</v>
      </c>
      <c r="C41" s="12">
        <f t="shared" si="1"/>
        <v>29298</v>
      </c>
      <c r="D41" s="13">
        <f t="shared" si="2"/>
        <v>40967</v>
      </c>
      <c r="E41" s="40">
        <v>30149</v>
      </c>
      <c r="F41" s="12">
        <f t="shared" si="3"/>
        <v>15778</v>
      </c>
      <c r="G41" s="13">
        <v>14371</v>
      </c>
      <c r="H41" s="40">
        <v>40116</v>
      </c>
      <c r="I41" s="12">
        <f t="shared" si="4"/>
        <v>13520</v>
      </c>
      <c r="J41" s="72">
        <v>26596</v>
      </c>
      <c r="K41" s="70">
        <f t="shared" si="5"/>
        <v>1596</v>
      </c>
      <c r="L41" s="14">
        <f t="shared" si="27"/>
        <v>2.2550654195043377E-2</v>
      </c>
      <c r="M41" s="44">
        <v>640</v>
      </c>
      <c r="N41" s="14">
        <f t="shared" si="12"/>
        <v>2.0800832033281331E-2</v>
      </c>
      <c r="O41" s="44">
        <v>956</v>
      </c>
      <c r="P41" s="15">
        <f t="shared" si="13"/>
        <v>2.3896415537669351E-2</v>
      </c>
      <c r="Q41" s="70">
        <f t="shared" si="6"/>
        <v>1466</v>
      </c>
      <c r="R41" s="14">
        <f t="shared" si="14"/>
        <v>2.0713821459858141E-2</v>
      </c>
      <c r="S41" s="44">
        <v>1020</v>
      </c>
      <c r="T41" s="14">
        <f t="shared" si="15"/>
        <v>3.3151326053042121E-2</v>
      </c>
      <c r="U41" s="44">
        <v>446</v>
      </c>
      <c r="V41" s="15">
        <f t="shared" si="16"/>
        <v>1.1148327750837374E-2</v>
      </c>
      <c r="W41" s="76">
        <f t="shared" si="7"/>
        <v>130</v>
      </c>
      <c r="X41" s="12">
        <f t="shared" si="17"/>
        <v>-380</v>
      </c>
      <c r="Y41" s="72">
        <f t="shared" si="8"/>
        <v>510</v>
      </c>
      <c r="Z41" s="70">
        <f t="shared" si="9"/>
        <v>503</v>
      </c>
      <c r="AA41" s="14">
        <f t="shared" si="18"/>
        <v>7.107129736909034E-3</v>
      </c>
      <c r="AB41" s="44">
        <v>259</v>
      </c>
      <c r="AC41" s="14">
        <f t="shared" si="19"/>
        <v>8.4178367134685392E-3</v>
      </c>
      <c r="AD41" s="44">
        <v>244</v>
      </c>
      <c r="AE41" s="15">
        <f t="shared" si="20"/>
        <v>6.0990851372294159E-3</v>
      </c>
      <c r="AF41" s="70">
        <f t="shared" si="10"/>
        <v>334</v>
      </c>
      <c r="AG41" s="4">
        <f t="shared" si="21"/>
        <v>4.7192471811682256E-3</v>
      </c>
      <c r="AH41" s="44">
        <v>88</v>
      </c>
      <c r="AI41" s="4">
        <f t="shared" si="22"/>
        <v>2.8601144045761829E-3</v>
      </c>
      <c r="AJ41" s="44">
        <v>246</v>
      </c>
      <c r="AK41" s="4">
        <f t="shared" si="23"/>
        <v>6.1490776383542473E-3</v>
      </c>
      <c r="AL41" s="44">
        <f t="shared" si="11"/>
        <v>637</v>
      </c>
      <c r="AM41" s="4">
        <f t="shared" si="24"/>
        <v>9.0004804024076644E-3</v>
      </c>
      <c r="AN41" s="44">
        <v>125</v>
      </c>
      <c r="AO41" s="4">
        <f t="shared" si="25"/>
        <v>4.06266250650026E-3</v>
      </c>
      <c r="AP41" s="44">
        <v>512</v>
      </c>
      <c r="AQ41" s="4">
        <f t="shared" si="26"/>
        <v>1.2798080287956806E-2</v>
      </c>
    </row>
    <row r="42" spans="1:43" x14ac:dyDescent="0.35">
      <c r="A42" s="48" t="s">
        <v>137</v>
      </c>
      <c r="B42" s="40">
        <f t="shared" si="0"/>
        <v>70277</v>
      </c>
      <c r="C42" s="12">
        <f t="shared" si="1"/>
        <v>29363</v>
      </c>
      <c r="D42" s="13">
        <f t="shared" si="2"/>
        <v>40914</v>
      </c>
      <c r="E42" s="40">
        <v>29980</v>
      </c>
      <c r="F42" s="12">
        <f t="shared" si="3"/>
        <v>15749</v>
      </c>
      <c r="G42" s="13">
        <v>14231</v>
      </c>
      <c r="H42" s="40">
        <v>40297</v>
      </c>
      <c r="I42" s="12">
        <f t="shared" si="4"/>
        <v>13614</v>
      </c>
      <c r="J42" s="72">
        <v>26683</v>
      </c>
      <c r="K42" s="70">
        <f t="shared" si="5"/>
        <v>1493</v>
      </c>
      <c r="L42" s="14">
        <f t="shared" si="27"/>
        <v>2.1248132071443819E-2</v>
      </c>
      <c r="M42" s="44">
        <v>676</v>
      </c>
      <c r="N42" s="14">
        <f t="shared" si="12"/>
        <v>2.2421970877972736E-2</v>
      </c>
      <c r="O42" s="44">
        <v>817</v>
      </c>
      <c r="P42" s="15">
        <f t="shared" si="13"/>
        <v>2.0365938777545119E-2</v>
      </c>
      <c r="Q42" s="70">
        <f t="shared" si="6"/>
        <v>1442</v>
      </c>
      <c r="R42" s="14">
        <f t="shared" si="14"/>
        <v>2.0522308403899524E-2</v>
      </c>
      <c r="S42" s="44">
        <v>969</v>
      </c>
      <c r="T42" s="14">
        <f t="shared" si="15"/>
        <v>3.2140369498159141E-2</v>
      </c>
      <c r="U42" s="44">
        <v>473</v>
      </c>
      <c r="V42" s="15">
        <f t="shared" si="16"/>
        <v>1.1790806660684017E-2</v>
      </c>
      <c r="W42" s="76">
        <f t="shared" si="7"/>
        <v>51</v>
      </c>
      <c r="X42" s="12">
        <f t="shared" si="17"/>
        <v>-293</v>
      </c>
      <c r="Y42" s="72">
        <f t="shared" si="8"/>
        <v>344</v>
      </c>
      <c r="Z42" s="70">
        <f t="shared" si="9"/>
        <v>458</v>
      </c>
      <c r="AA42" s="14">
        <f t="shared" si="18"/>
        <v>6.5181811712801538E-3</v>
      </c>
      <c r="AB42" s="44">
        <v>234</v>
      </c>
      <c r="AC42" s="14">
        <f t="shared" si="19"/>
        <v>7.7614514577597927E-3</v>
      </c>
      <c r="AD42" s="44">
        <v>224</v>
      </c>
      <c r="AE42" s="15">
        <f t="shared" si="20"/>
        <v>5.583806959816532E-3</v>
      </c>
      <c r="AF42" s="70">
        <f t="shared" si="10"/>
        <v>357</v>
      </c>
      <c r="AG42" s="4">
        <f t="shared" si="21"/>
        <v>5.080765672810076E-3</v>
      </c>
      <c r="AH42" s="44">
        <v>91</v>
      </c>
      <c r="AI42" s="4">
        <f t="shared" si="22"/>
        <v>3.018342233573253E-3</v>
      </c>
      <c r="AJ42" s="44">
        <v>266</v>
      </c>
      <c r="AK42" s="4">
        <f t="shared" si="23"/>
        <v>6.630770764782132E-3</v>
      </c>
      <c r="AL42" s="44">
        <f t="shared" si="11"/>
        <v>630</v>
      </c>
      <c r="AM42" s="4">
        <f t="shared" si="24"/>
        <v>8.9660570696648411E-3</v>
      </c>
      <c r="AN42" s="44">
        <v>114</v>
      </c>
      <c r="AO42" s="4">
        <f t="shared" si="25"/>
        <v>3.7812199409598991E-3</v>
      </c>
      <c r="AP42" s="44">
        <v>516</v>
      </c>
      <c r="AQ42" s="4">
        <f t="shared" si="26"/>
        <v>1.2862698175291655E-2</v>
      </c>
    </row>
    <row r="43" spans="1:43" x14ac:dyDescent="0.35">
      <c r="A43" s="48" t="s">
        <v>138</v>
      </c>
      <c r="B43" s="40">
        <f t="shared" si="0"/>
        <v>70700</v>
      </c>
      <c r="C43" s="12">
        <f t="shared" si="1"/>
        <v>29618</v>
      </c>
      <c r="D43" s="13">
        <f t="shared" si="2"/>
        <v>41082</v>
      </c>
      <c r="E43" s="40">
        <v>30081</v>
      </c>
      <c r="F43" s="12">
        <f t="shared" si="3"/>
        <v>15849</v>
      </c>
      <c r="G43" s="13">
        <v>14232</v>
      </c>
      <c r="H43" s="40">
        <v>40619</v>
      </c>
      <c r="I43" s="12">
        <f t="shared" si="4"/>
        <v>13769</v>
      </c>
      <c r="J43" s="72">
        <v>26850</v>
      </c>
      <c r="K43" s="70">
        <f t="shared" si="5"/>
        <v>1940</v>
      </c>
      <c r="L43" s="14">
        <f t="shared" si="27"/>
        <v>2.7605048593423168E-2</v>
      </c>
      <c r="M43" s="44">
        <v>982</v>
      </c>
      <c r="N43" s="14">
        <f t="shared" si="12"/>
        <v>3.2755170113408942E-2</v>
      </c>
      <c r="O43" s="44">
        <v>958</v>
      </c>
      <c r="P43" s="15">
        <f t="shared" si="13"/>
        <v>2.3773481896915402E-2</v>
      </c>
      <c r="Q43" s="70">
        <f t="shared" si="6"/>
        <v>1432</v>
      </c>
      <c r="R43" s="14">
        <f t="shared" si="14"/>
        <v>2.0376510095763904E-2</v>
      </c>
      <c r="S43" s="44">
        <v>899</v>
      </c>
      <c r="T43" s="14">
        <f t="shared" si="15"/>
        <v>2.9986657771847898E-2</v>
      </c>
      <c r="U43" s="44">
        <v>533</v>
      </c>
      <c r="V43" s="15">
        <f t="shared" si="16"/>
        <v>1.3226791076258779E-2</v>
      </c>
      <c r="W43" s="76">
        <f t="shared" si="7"/>
        <v>508</v>
      </c>
      <c r="X43" s="12">
        <f t="shared" si="17"/>
        <v>83</v>
      </c>
      <c r="Y43" s="72">
        <f t="shared" si="8"/>
        <v>425</v>
      </c>
      <c r="Z43" s="70">
        <f t="shared" si="9"/>
        <v>539</v>
      </c>
      <c r="AA43" s="14">
        <f t="shared" si="18"/>
        <v>7.6696500988943754E-3</v>
      </c>
      <c r="AB43" s="44">
        <v>279</v>
      </c>
      <c r="AC43" s="14">
        <f t="shared" si="19"/>
        <v>9.3062041360907274E-3</v>
      </c>
      <c r="AD43" s="44">
        <v>260</v>
      </c>
      <c r="AE43" s="15">
        <f t="shared" si="20"/>
        <v>6.4520932079311115E-3</v>
      </c>
      <c r="AF43" s="70">
        <f t="shared" si="10"/>
        <v>344</v>
      </c>
      <c r="AG43" s="4">
        <f t="shared" si="21"/>
        <v>4.8949158330606028E-3</v>
      </c>
      <c r="AH43" s="44">
        <v>72</v>
      </c>
      <c r="AI43" s="4">
        <f t="shared" si="22"/>
        <v>2.401601067378252E-3</v>
      </c>
      <c r="AJ43" s="44">
        <v>272</v>
      </c>
      <c r="AK43" s="4">
        <f t="shared" si="23"/>
        <v>6.74988212522024E-3</v>
      </c>
      <c r="AL43" s="44">
        <f t="shared" si="11"/>
        <v>691</v>
      </c>
      <c r="AM43" s="4">
        <f t="shared" si="24"/>
        <v>9.8325198855955722E-3</v>
      </c>
      <c r="AN43" s="44">
        <v>136</v>
      </c>
      <c r="AO43" s="4">
        <f t="shared" si="25"/>
        <v>4.5363575717144765E-3</v>
      </c>
      <c r="AP43" s="44">
        <v>555</v>
      </c>
      <c r="AQ43" s="4">
        <f t="shared" si="26"/>
        <v>1.377273742462218E-2</v>
      </c>
    </row>
    <row r="44" spans="1:43" x14ac:dyDescent="0.35">
      <c r="A44" s="48" t="s">
        <v>139</v>
      </c>
      <c r="B44" s="40">
        <f t="shared" si="0"/>
        <v>70800</v>
      </c>
      <c r="C44" s="12">
        <f t="shared" si="1"/>
        <v>29864</v>
      </c>
      <c r="D44" s="13">
        <f t="shared" si="2"/>
        <v>40936</v>
      </c>
      <c r="E44" s="40">
        <v>30168</v>
      </c>
      <c r="F44" s="12">
        <f t="shared" si="3"/>
        <v>15948</v>
      </c>
      <c r="G44" s="13">
        <v>14220</v>
      </c>
      <c r="H44" s="40">
        <v>40632</v>
      </c>
      <c r="I44" s="12">
        <f t="shared" si="4"/>
        <v>13916</v>
      </c>
      <c r="J44" s="72">
        <v>26716</v>
      </c>
      <c r="K44" s="70">
        <f t="shared" si="5"/>
        <v>1314</v>
      </c>
      <c r="L44" s="14">
        <f t="shared" si="27"/>
        <v>1.8585572842998586E-2</v>
      </c>
      <c r="M44" s="44">
        <v>631</v>
      </c>
      <c r="N44" s="14">
        <f t="shared" si="12"/>
        <v>2.0976696253449022E-2</v>
      </c>
      <c r="O44" s="44">
        <v>683</v>
      </c>
      <c r="P44" s="15">
        <f t="shared" si="13"/>
        <v>1.681479110760974E-2</v>
      </c>
      <c r="Q44" s="70">
        <f t="shared" si="6"/>
        <v>1694</v>
      </c>
      <c r="R44" s="14">
        <f t="shared" si="14"/>
        <v>2.3960396039603961E-2</v>
      </c>
      <c r="S44" s="44">
        <v>984</v>
      </c>
      <c r="T44" s="14">
        <f t="shared" si="15"/>
        <v>3.2711678468136031E-2</v>
      </c>
      <c r="U44" s="44">
        <v>710</v>
      </c>
      <c r="V44" s="15">
        <f t="shared" si="16"/>
        <v>1.7479504665304416E-2</v>
      </c>
      <c r="W44" s="76">
        <f t="shared" si="7"/>
        <v>-380</v>
      </c>
      <c r="X44" s="12">
        <f t="shared" si="17"/>
        <v>-353</v>
      </c>
      <c r="Y44" s="72">
        <f t="shared" si="8"/>
        <v>-27</v>
      </c>
      <c r="Z44" s="70">
        <f t="shared" si="9"/>
        <v>910</v>
      </c>
      <c r="AA44" s="14">
        <f t="shared" si="18"/>
        <v>1.2871287128712871E-2</v>
      </c>
      <c r="AB44" s="44">
        <v>481</v>
      </c>
      <c r="AC44" s="14">
        <f t="shared" si="19"/>
        <v>1.5990159901599015E-2</v>
      </c>
      <c r="AD44" s="44">
        <v>429</v>
      </c>
      <c r="AE44" s="15">
        <f t="shared" si="20"/>
        <v>1.0561559861148723E-2</v>
      </c>
      <c r="AF44" s="70">
        <f t="shared" si="10"/>
        <v>290</v>
      </c>
      <c r="AG44" s="4">
        <f t="shared" si="21"/>
        <v>4.1018387553041023E-3</v>
      </c>
      <c r="AH44" s="44">
        <v>53</v>
      </c>
      <c r="AI44" s="4">
        <f t="shared" si="22"/>
        <v>1.7619095109870017E-3</v>
      </c>
      <c r="AJ44" s="44">
        <v>237</v>
      </c>
      <c r="AK44" s="4">
        <f t="shared" si="23"/>
        <v>5.8347078953199238E-3</v>
      </c>
      <c r="AL44" s="44">
        <f t="shared" si="11"/>
        <v>613</v>
      </c>
      <c r="AM44" s="4">
        <f t="shared" si="24"/>
        <v>8.670438472418671E-3</v>
      </c>
      <c r="AN44" s="44">
        <v>112</v>
      </c>
      <c r="AO44" s="4">
        <f t="shared" si="25"/>
        <v>3.7232804760480038E-3</v>
      </c>
      <c r="AP44" s="44">
        <v>501</v>
      </c>
      <c r="AQ44" s="4">
        <f t="shared" si="26"/>
        <v>1.2334129348334524E-2</v>
      </c>
    </row>
    <row r="45" spans="1:43" x14ac:dyDescent="0.35">
      <c r="A45" s="48" t="s">
        <v>140</v>
      </c>
      <c r="B45" s="40">
        <f t="shared" si="0"/>
        <v>70364</v>
      </c>
      <c r="C45" s="12">
        <f t="shared" si="1"/>
        <v>29599</v>
      </c>
      <c r="D45" s="13">
        <f t="shared" si="2"/>
        <v>40765</v>
      </c>
      <c r="E45" s="40">
        <v>29776</v>
      </c>
      <c r="F45" s="12">
        <f t="shared" si="3"/>
        <v>15622</v>
      </c>
      <c r="G45" s="13">
        <v>14154</v>
      </c>
      <c r="H45" s="40">
        <v>40588</v>
      </c>
      <c r="I45" s="12">
        <f t="shared" si="4"/>
        <v>13977</v>
      </c>
      <c r="J45" s="72">
        <v>26611</v>
      </c>
      <c r="K45" s="70">
        <f t="shared" si="5"/>
        <v>1901</v>
      </c>
      <c r="L45" s="14">
        <f t="shared" si="27"/>
        <v>2.6850282485875707E-2</v>
      </c>
      <c r="M45" s="44">
        <v>882</v>
      </c>
      <c r="N45" s="14">
        <f t="shared" si="12"/>
        <v>2.9236276849642005E-2</v>
      </c>
      <c r="O45" s="44">
        <v>1019</v>
      </c>
      <c r="P45" s="15">
        <f t="shared" si="13"/>
        <v>2.5078755660563102E-2</v>
      </c>
      <c r="Q45" s="70">
        <f t="shared" si="6"/>
        <v>1390</v>
      </c>
      <c r="R45" s="14">
        <f t="shared" si="14"/>
        <v>1.9632768361581922E-2</v>
      </c>
      <c r="S45" s="44">
        <v>843</v>
      </c>
      <c r="T45" s="14">
        <f t="shared" si="15"/>
        <v>2.7943516308671441E-2</v>
      </c>
      <c r="U45" s="44">
        <v>547</v>
      </c>
      <c r="V45" s="15">
        <f t="shared" si="16"/>
        <v>1.3462295727505414E-2</v>
      </c>
      <c r="W45" s="76">
        <f t="shared" si="7"/>
        <v>511</v>
      </c>
      <c r="X45" s="12">
        <f t="shared" si="17"/>
        <v>39</v>
      </c>
      <c r="Y45" s="72">
        <f t="shared" si="8"/>
        <v>472</v>
      </c>
      <c r="Z45" s="70">
        <f t="shared" si="9"/>
        <v>497</v>
      </c>
      <c r="AA45" s="14">
        <f t="shared" si="18"/>
        <v>7.0197740112994348E-3</v>
      </c>
      <c r="AB45" s="44">
        <v>254</v>
      </c>
      <c r="AC45" s="14">
        <f t="shared" si="19"/>
        <v>8.4195173693980378E-3</v>
      </c>
      <c r="AD45" s="44">
        <v>243</v>
      </c>
      <c r="AE45" s="15">
        <f t="shared" si="20"/>
        <v>5.9805079740106321E-3</v>
      </c>
      <c r="AF45" s="70">
        <f t="shared" si="10"/>
        <v>330</v>
      </c>
      <c r="AG45" s="4">
        <f t="shared" si="21"/>
        <v>4.6610169491525426E-3</v>
      </c>
      <c r="AH45" s="44">
        <v>71</v>
      </c>
      <c r="AI45" s="4">
        <f t="shared" si="22"/>
        <v>2.3534871386900027E-3</v>
      </c>
      <c r="AJ45" s="44">
        <v>259</v>
      </c>
      <c r="AK45" s="4">
        <f t="shared" si="23"/>
        <v>6.3742862768261469E-3</v>
      </c>
      <c r="AL45" s="44">
        <f t="shared" si="11"/>
        <v>768</v>
      </c>
      <c r="AM45" s="4">
        <f t="shared" si="24"/>
        <v>1.0847457627118645E-2</v>
      </c>
      <c r="AN45" s="44">
        <v>148</v>
      </c>
      <c r="AO45" s="4">
        <f t="shared" si="25"/>
        <v>4.9058605144523997E-3</v>
      </c>
      <c r="AP45" s="44">
        <v>620</v>
      </c>
      <c r="AQ45" s="4">
        <f t="shared" si="26"/>
        <v>1.5258909234101201E-2</v>
      </c>
    </row>
    <row r="46" spans="1:43" x14ac:dyDescent="0.35">
      <c r="A46" s="48" t="s">
        <v>141</v>
      </c>
      <c r="B46" s="40">
        <f t="shared" si="0"/>
        <v>70615</v>
      </c>
      <c r="C46" s="12">
        <f t="shared" si="1"/>
        <v>29754</v>
      </c>
      <c r="D46" s="13">
        <f t="shared" si="2"/>
        <v>40861</v>
      </c>
      <c r="E46" s="40">
        <v>29813</v>
      </c>
      <c r="F46" s="12">
        <f t="shared" si="3"/>
        <v>15590</v>
      </c>
      <c r="G46" s="13">
        <v>14223</v>
      </c>
      <c r="H46" s="40">
        <v>40802</v>
      </c>
      <c r="I46" s="12">
        <f t="shared" si="4"/>
        <v>14164</v>
      </c>
      <c r="J46" s="72">
        <v>26638</v>
      </c>
      <c r="K46" s="70">
        <f t="shared" si="5"/>
        <v>1616</v>
      </c>
      <c r="L46" s="14">
        <f t="shared" si="27"/>
        <v>2.296628957989881E-2</v>
      </c>
      <c r="M46" s="44">
        <v>686</v>
      </c>
      <c r="N46" s="14">
        <f t="shared" si="12"/>
        <v>2.3038688876947877E-2</v>
      </c>
      <c r="O46" s="44">
        <v>930</v>
      </c>
      <c r="P46" s="15">
        <f t="shared" si="13"/>
        <v>2.2913176308268453E-2</v>
      </c>
      <c r="Q46" s="70">
        <f t="shared" si="6"/>
        <v>1238</v>
      </c>
      <c r="R46" s="14">
        <f t="shared" si="14"/>
        <v>1.7594224319254163E-2</v>
      </c>
      <c r="S46" s="44">
        <v>733</v>
      </c>
      <c r="T46" s="14">
        <f t="shared" si="15"/>
        <v>2.4617141321869963E-2</v>
      </c>
      <c r="U46" s="44">
        <v>505</v>
      </c>
      <c r="V46" s="15">
        <f t="shared" si="16"/>
        <v>1.2442101113629644E-2</v>
      </c>
      <c r="W46" s="76">
        <f t="shared" si="7"/>
        <v>378</v>
      </c>
      <c r="X46" s="12">
        <f t="shared" si="17"/>
        <v>-47</v>
      </c>
      <c r="Y46" s="72">
        <f t="shared" si="8"/>
        <v>425</v>
      </c>
      <c r="Z46" s="70">
        <f t="shared" si="9"/>
        <v>447</v>
      </c>
      <c r="AA46" s="14">
        <f t="shared" si="18"/>
        <v>6.3526803479051789E-3</v>
      </c>
      <c r="AB46" s="44">
        <v>219</v>
      </c>
      <c r="AC46" s="14">
        <f t="shared" si="19"/>
        <v>7.3549167114454594E-3</v>
      </c>
      <c r="AD46" s="44">
        <v>228</v>
      </c>
      <c r="AE46" s="15">
        <f t="shared" si="20"/>
        <v>5.6174238691238786E-3</v>
      </c>
      <c r="AF46" s="70">
        <f t="shared" si="10"/>
        <v>336</v>
      </c>
      <c r="AG46" s="4">
        <f t="shared" si="21"/>
        <v>4.7751691205730204E-3</v>
      </c>
      <c r="AH46" s="44">
        <v>80</v>
      </c>
      <c r="AI46" s="4">
        <f t="shared" si="22"/>
        <v>2.6867275658248252E-3</v>
      </c>
      <c r="AJ46" s="44">
        <v>256</v>
      </c>
      <c r="AK46" s="4">
        <f t="shared" si="23"/>
        <v>6.3072829407706714E-3</v>
      </c>
      <c r="AL46" s="44">
        <f t="shared" si="11"/>
        <v>732</v>
      </c>
      <c r="AM46" s="4">
        <f t="shared" si="24"/>
        <v>1.0403047012676936E-2</v>
      </c>
      <c r="AN46" s="44">
        <v>170</v>
      </c>
      <c r="AO46" s="4">
        <f t="shared" si="25"/>
        <v>5.7092960773777535E-3</v>
      </c>
      <c r="AP46" s="44">
        <v>562</v>
      </c>
      <c r="AQ46" s="4">
        <f t="shared" si="26"/>
        <v>1.3846457080910615E-2</v>
      </c>
    </row>
    <row r="47" spans="1:43" x14ac:dyDescent="0.35">
      <c r="A47" s="48" t="s">
        <v>162</v>
      </c>
      <c r="B47" s="40">
        <f t="shared" ref="B47:B52" si="28">C47+D47</f>
        <v>71342</v>
      </c>
      <c r="C47" s="12">
        <f t="shared" ref="C47:D49" si="29">F47+I47</f>
        <v>30112</v>
      </c>
      <c r="D47" s="13">
        <f t="shared" si="29"/>
        <v>41230</v>
      </c>
      <c r="E47" s="40">
        <v>29968</v>
      </c>
      <c r="F47" s="12">
        <f t="shared" ref="F47:F52" si="30">E47-G47</f>
        <v>15662</v>
      </c>
      <c r="G47" s="13">
        <v>14306</v>
      </c>
      <c r="H47" s="40">
        <v>41374</v>
      </c>
      <c r="I47" s="12">
        <f t="shared" ref="I47:I52" si="31">H47-J47</f>
        <v>14450</v>
      </c>
      <c r="J47" s="12">
        <v>26924</v>
      </c>
      <c r="K47" s="70">
        <f t="shared" ref="K47" si="32">M47+O47</f>
        <v>2037</v>
      </c>
      <c r="L47" s="14">
        <f t="shared" ref="L47" si="33">K47/B46</f>
        <v>2.8846562345110811E-2</v>
      </c>
      <c r="M47" s="44">
        <v>789</v>
      </c>
      <c r="N47" s="14">
        <f t="shared" si="12"/>
        <v>2.6464964948176972E-2</v>
      </c>
      <c r="O47" s="44">
        <v>1248</v>
      </c>
      <c r="P47" s="15">
        <f t="shared" si="13"/>
        <v>3.0586735944316455E-2</v>
      </c>
      <c r="Q47" s="70">
        <f t="shared" ref="Q47" si="34">S47+U47</f>
        <v>1176</v>
      </c>
      <c r="R47" s="14">
        <f t="shared" ref="R47" si="35">Q47/B46</f>
        <v>1.6653685477589747E-2</v>
      </c>
      <c r="S47" s="44">
        <v>664</v>
      </c>
      <c r="T47" s="14">
        <f t="shared" si="15"/>
        <v>2.2272163150303559E-2</v>
      </c>
      <c r="U47" s="44">
        <v>512</v>
      </c>
      <c r="V47" s="15">
        <f t="shared" si="16"/>
        <v>1.2548404489975981E-2</v>
      </c>
      <c r="W47" s="76">
        <f t="shared" ref="W47" si="36">K47-Q47</f>
        <v>861</v>
      </c>
      <c r="X47" s="12">
        <f t="shared" ref="X47" si="37">M47-S47</f>
        <v>125</v>
      </c>
      <c r="Y47" s="72">
        <f t="shared" ref="Y47" si="38">O47-U47</f>
        <v>736</v>
      </c>
      <c r="Z47" s="70">
        <f t="shared" ref="Z47" si="39">AB47+AD47</f>
        <v>446</v>
      </c>
      <c r="AA47" s="14">
        <f t="shared" ref="AA47" si="40">Z47/B46</f>
        <v>6.3159385399702613E-3</v>
      </c>
      <c r="AB47" s="44">
        <v>222</v>
      </c>
      <c r="AC47" s="14">
        <f t="shared" si="19"/>
        <v>7.4464159930231781E-3</v>
      </c>
      <c r="AD47" s="44">
        <v>224</v>
      </c>
      <c r="AE47" s="15">
        <f t="shared" si="20"/>
        <v>5.4899269643644919E-3</v>
      </c>
      <c r="AF47" s="70">
        <f t="shared" ref="AF47:AF52" si="41">AH47+AJ47</f>
        <v>630</v>
      </c>
      <c r="AG47" s="4">
        <f t="shared" si="21"/>
        <v>8.9216172201373647E-3</v>
      </c>
      <c r="AH47" s="44">
        <v>262</v>
      </c>
      <c r="AI47" s="4">
        <f t="shared" si="22"/>
        <v>8.7881125683426688E-3</v>
      </c>
      <c r="AJ47" s="44">
        <v>368</v>
      </c>
      <c r="AK47" s="4">
        <f t="shared" si="23"/>
        <v>9.0191657271702363E-3</v>
      </c>
      <c r="AL47" s="44">
        <f t="shared" ref="AL47:AL52" si="42">AN47+AP47</f>
        <v>1006</v>
      </c>
      <c r="AM47" s="4">
        <f t="shared" si="24"/>
        <v>1.4246264957870141E-2</v>
      </c>
      <c r="AN47" s="44">
        <v>285</v>
      </c>
      <c r="AO47" s="4">
        <f t="shared" si="25"/>
        <v>9.5595880991513772E-3</v>
      </c>
      <c r="AP47" s="44">
        <v>721</v>
      </c>
      <c r="AQ47" s="4">
        <f>AP47/H46</f>
        <v>1.7670702416548209E-2</v>
      </c>
    </row>
    <row r="48" spans="1:43" x14ac:dyDescent="0.35">
      <c r="A48" s="48" t="s">
        <v>163</v>
      </c>
      <c r="B48" s="40">
        <f t="shared" si="28"/>
        <v>71872</v>
      </c>
      <c r="C48" s="12">
        <f t="shared" si="29"/>
        <v>30539</v>
      </c>
      <c r="D48" s="13">
        <f t="shared" si="29"/>
        <v>41333</v>
      </c>
      <c r="E48" s="40">
        <v>30303</v>
      </c>
      <c r="F48" s="12">
        <f t="shared" si="30"/>
        <v>15886</v>
      </c>
      <c r="G48" s="13">
        <v>14417</v>
      </c>
      <c r="H48" s="40">
        <v>41569</v>
      </c>
      <c r="I48" s="12">
        <f t="shared" si="31"/>
        <v>14653</v>
      </c>
      <c r="J48" s="12">
        <v>26916</v>
      </c>
      <c r="K48" s="70">
        <f t="shared" ref="K48" si="43">M48+O48</f>
        <v>2043</v>
      </c>
      <c r="L48" s="14">
        <f t="shared" ref="L48" si="44">K48/B47</f>
        <v>2.8636707689719942E-2</v>
      </c>
      <c r="M48" s="44">
        <v>912</v>
      </c>
      <c r="N48" s="14">
        <f t="shared" ref="N48:N51" si="45">M48/E47</f>
        <v>3.0432461292044848E-2</v>
      </c>
      <c r="O48" s="44">
        <v>1131</v>
      </c>
      <c r="P48" s="15">
        <f t="shared" ref="P48:P51" si="46">O48/H47</f>
        <v>2.7336008121042199E-2</v>
      </c>
      <c r="Q48" s="70">
        <f t="shared" ref="Q48" si="47">S48+U48</f>
        <v>1312</v>
      </c>
      <c r="R48" s="14">
        <f t="shared" ref="R48" si="48">Q48/B47</f>
        <v>1.8390289030304728E-2</v>
      </c>
      <c r="S48" s="44">
        <v>720</v>
      </c>
      <c r="T48" s="14">
        <f t="shared" ref="T48:T51" si="49">S48/E47</f>
        <v>2.4025627335824879E-2</v>
      </c>
      <c r="U48" s="44">
        <v>592</v>
      </c>
      <c r="V48" s="15">
        <f t="shared" ref="V48:V51" si="50">U48/H47</f>
        <v>1.4308502924541984E-2</v>
      </c>
      <c r="W48" s="76">
        <f t="shared" ref="W48" si="51">K48-Q48</f>
        <v>731</v>
      </c>
      <c r="X48" s="12">
        <f t="shared" ref="X48" si="52">M48-S48</f>
        <v>192</v>
      </c>
      <c r="Y48" s="72">
        <f t="shared" ref="Y48" si="53">O48-U48</f>
        <v>539</v>
      </c>
      <c r="Z48" s="70">
        <f t="shared" ref="Z48" si="54">AB48+AD48</f>
        <v>716</v>
      </c>
      <c r="AA48" s="14">
        <f t="shared" ref="AA48" si="55">Z48/B47</f>
        <v>1.0036163830562642E-2</v>
      </c>
      <c r="AB48" s="44">
        <v>353</v>
      </c>
      <c r="AC48" s="14">
        <f t="shared" ref="AC48:AC51" si="56">AB48/E47</f>
        <v>1.1779231179925253E-2</v>
      </c>
      <c r="AD48" s="44">
        <v>363</v>
      </c>
      <c r="AE48" s="15">
        <f t="shared" ref="AE48:AE51" si="57">AD48/H47</f>
        <v>8.7736259486634119E-3</v>
      </c>
      <c r="AF48" s="70">
        <f t="shared" si="41"/>
        <v>305</v>
      </c>
      <c r="AG48" s="4">
        <f>AF48/B47</f>
        <v>4.2751815200022429E-3</v>
      </c>
      <c r="AH48" s="44">
        <v>78</v>
      </c>
      <c r="AI48" s="4">
        <f t="shared" ref="AI48:AI51" si="58">AH48/E47</f>
        <v>2.6027762947143621E-3</v>
      </c>
      <c r="AJ48" s="44">
        <v>227</v>
      </c>
      <c r="AK48" s="4">
        <f t="shared" ref="AK48:AK51" si="59">AJ48/H47</f>
        <v>5.4865374389713346E-3</v>
      </c>
      <c r="AL48" s="44">
        <f t="shared" si="42"/>
        <v>800</v>
      </c>
      <c r="AM48" s="4">
        <f t="shared" ref="AM48:AM51" si="60">AL48/B47</f>
        <v>1.121359087213703E-2</v>
      </c>
      <c r="AN48" s="44">
        <v>176</v>
      </c>
      <c r="AO48" s="4">
        <f t="shared" ref="AO48:AO51" si="61">AN48/E47</f>
        <v>5.8729311265349705E-3</v>
      </c>
      <c r="AP48" s="44">
        <v>624</v>
      </c>
      <c r="AQ48" s="4">
        <f>AP48/H47</f>
        <v>1.5081935515057765E-2</v>
      </c>
    </row>
    <row r="49" spans="1:43" x14ac:dyDescent="0.35">
      <c r="A49" s="48" t="s">
        <v>177</v>
      </c>
      <c r="B49" s="40">
        <f t="shared" si="28"/>
        <v>72316</v>
      </c>
      <c r="C49" s="12">
        <f t="shared" si="29"/>
        <v>30799</v>
      </c>
      <c r="D49" s="13">
        <f t="shared" si="29"/>
        <v>41517</v>
      </c>
      <c r="E49" s="40">
        <v>30578</v>
      </c>
      <c r="F49" s="12">
        <f t="shared" si="30"/>
        <v>15971</v>
      </c>
      <c r="G49" s="13">
        <v>14607</v>
      </c>
      <c r="H49" s="40">
        <v>41738</v>
      </c>
      <c r="I49" s="12">
        <f t="shared" si="31"/>
        <v>14828</v>
      </c>
      <c r="J49" s="12">
        <v>26910</v>
      </c>
      <c r="K49" s="70">
        <f t="shared" ref="K49" si="62">M49+O49</f>
        <v>2183</v>
      </c>
      <c r="L49" s="14">
        <f t="shared" ref="L49" si="63">K49/B48</f>
        <v>3.0373441674087266E-2</v>
      </c>
      <c r="M49" s="44">
        <v>817</v>
      </c>
      <c r="N49" s="14">
        <f t="shared" si="45"/>
        <v>2.6961026961026962E-2</v>
      </c>
      <c r="O49" s="44">
        <v>1366</v>
      </c>
      <c r="P49" s="15">
        <f t="shared" si="46"/>
        <v>3.2861026245519495E-2</v>
      </c>
      <c r="Q49" s="70">
        <f t="shared" ref="Q49" si="64">S49+U49</f>
        <v>936</v>
      </c>
      <c r="R49" s="14">
        <f t="shared" ref="R49" si="65">Q49/B48</f>
        <v>1.3023152270703473E-2</v>
      </c>
      <c r="S49" s="44">
        <v>518</v>
      </c>
      <c r="T49" s="14">
        <f t="shared" si="49"/>
        <v>1.7094017094017096E-2</v>
      </c>
      <c r="U49" s="44">
        <v>418</v>
      </c>
      <c r="V49" s="15">
        <f t="shared" si="50"/>
        <v>1.0055570256681662E-2</v>
      </c>
      <c r="W49" s="76">
        <f t="shared" ref="W49" si="66">K49-Q49</f>
        <v>1247</v>
      </c>
      <c r="X49" s="12">
        <f t="shared" ref="X49" si="67">M49-S49</f>
        <v>299</v>
      </c>
      <c r="Y49" s="72">
        <f t="shared" ref="Y49" si="68">O49-U49</f>
        <v>948</v>
      </c>
      <c r="Z49" s="70">
        <f t="shared" ref="Z49" si="69">AB49+AD49</f>
        <v>380</v>
      </c>
      <c r="AA49" s="14">
        <f t="shared" ref="AA49" si="70">Z49/B48</f>
        <v>5.2871772039180765E-3</v>
      </c>
      <c r="AB49" s="44">
        <v>181</v>
      </c>
      <c r="AC49" s="14">
        <f t="shared" si="56"/>
        <v>5.9730059730059726E-3</v>
      </c>
      <c r="AD49" s="44">
        <v>199</v>
      </c>
      <c r="AE49" s="15">
        <f t="shared" si="57"/>
        <v>4.7872212466020352E-3</v>
      </c>
      <c r="AF49" s="70">
        <f t="shared" si="41"/>
        <v>375</v>
      </c>
      <c r="AG49" s="4">
        <f>AF49/B48</f>
        <v>5.2176090828138909E-3</v>
      </c>
      <c r="AH49" s="44">
        <v>108</v>
      </c>
      <c r="AI49" s="4">
        <f t="shared" si="58"/>
        <v>3.564003564003564E-3</v>
      </c>
      <c r="AJ49" s="44">
        <v>267</v>
      </c>
      <c r="AK49" s="4">
        <f t="shared" si="59"/>
        <v>6.4230556424258465E-3</v>
      </c>
      <c r="AL49" s="44">
        <f t="shared" si="42"/>
        <v>717</v>
      </c>
      <c r="AM49" s="4">
        <f t="shared" si="60"/>
        <v>9.9760685663401599E-3</v>
      </c>
      <c r="AN49" s="44">
        <v>168</v>
      </c>
      <c r="AO49" s="4">
        <f t="shared" si="61"/>
        <v>5.544005544005544E-3</v>
      </c>
      <c r="AP49" s="44">
        <v>549</v>
      </c>
      <c r="AQ49" s="4">
        <f>AP49/H48</f>
        <v>1.3206957107459887E-2</v>
      </c>
    </row>
    <row r="50" spans="1:43" x14ac:dyDescent="0.35">
      <c r="A50" s="48" t="s">
        <v>178</v>
      </c>
      <c r="B50" s="40">
        <f t="shared" si="28"/>
        <v>73044</v>
      </c>
      <c r="C50" s="12">
        <f t="shared" ref="C50:D52" si="71">F50+I50</f>
        <v>31102</v>
      </c>
      <c r="D50" s="13">
        <f t="shared" si="71"/>
        <v>41942</v>
      </c>
      <c r="E50" s="40">
        <v>30743</v>
      </c>
      <c r="F50" s="12">
        <f t="shared" si="30"/>
        <v>16053</v>
      </c>
      <c r="G50" s="13">
        <v>14690</v>
      </c>
      <c r="H50" s="40">
        <v>42301</v>
      </c>
      <c r="I50" s="12">
        <f t="shared" si="31"/>
        <v>15049</v>
      </c>
      <c r="J50" s="12">
        <v>27252</v>
      </c>
      <c r="K50" s="70">
        <f t="shared" ref="K50:K51" si="72">M50+O50</f>
        <v>2085</v>
      </c>
      <c r="L50" s="14">
        <f t="shared" ref="L50:L51" si="73">K50/B49</f>
        <v>2.883179379390453E-2</v>
      </c>
      <c r="M50" s="44">
        <v>682</v>
      </c>
      <c r="N50" s="14">
        <f t="shared" si="45"/>
        <v>2.2303616979527766E-2</v>
      </c>
      <c r="O50" s="44">
        <v>1403</v>
      </c>
      <c r="P50" s="15">
        <f t="shared" si="46"/>
        <v>3.3614452058076574E-2</v>
      </c>
      <c r="Q50" s="70">
        <f t="shared" ref="Q50:Q51" si="74">S50+U50</f>
        <v>967</v>
      </c>
      <c r="R50" s="14">
        <f t="shared" ref="R50:R51" si="75">Q50/B49</f>
        <v>1.3371867913048289E-2</v>
      </c>
      <c r="S50" s="44">
        <v>550</v>
      </c>
      <c r="T50" s="14">
        <f t="shared" si="49"/>
        <v>1.7986787886715941E-2</v>
      </c>
      <c r="U50" s="44">
        <v>417</v>
      </c>
      <c r="V50" s="15">
        <f t="shared" si="50"/>
        <v>9.9908955867554754E-3</v>
      </c>
      <c r="W50" s="76">
        <f t="shared" ref="W50:W51" si="76">K50-Q50</f>
        <v>1118</v>
      </c>
      <c r="X50" s="12">
        <f t="shared" ref="X50:X51" si="77">M50-S50</f>
        <v>132</v>
      </c>
      <c r="Y50" s="72">
        <f t="shared" ref="Y50:Y51" si="78">O50-U50</f>
        <v>986</v>
      </c>
      <c r="Z50" s="70">
        <f t="shared" ref="Z50:Z51" si="79">AB50+AD50</f>
        <v>421</v>
      </c>
      <c r="AA50" s="14">
        <f t="shared" ref="AA50:AA51" si="80">Z50/B49</f>
        <v>5.8216715526301236E-3</v>
      </c>
      <c r="AB50" s="44">
        <v>214</v>
      </c>
      <c r="AC50" s="14">
        <f t="shared" si="56"/>
        <v>6.9984956504676567E-3</v>
      </c>
      <c r="AD50" s="44">
        <v>207</v>
      </c>
      <c r="AE50" s="15">
        <f t="shared" si="57"/>
        <v>4.9595093200440849E-3</v>
      </c>
      <c r="AF50" s="70">
        <f t="shared" si="41"/>
        <v>354</v>
      </c>
      <c r="AG50" s="4">
        <f t="shared" ref="AG50:AG51" si="81">AF50/B49</f>
        <v>4.8951822556557332E-3</v>
      </c>
      <c r="AH50" s="44">
        <v>82</v>
      </c>
      <c r="AI50" s="4">
        <f t="shared" si="58"/>
        <v>2.6816665576558309E-3</v>
      </c>
      <c r="AJ50" s="44">
        <v>272</v>
      </c>
      <c r="AK50" s="4">
        <f t="shared" si="59"/>
        <v>6.5168431645023723E-3</v>
      </c>
      <c r="AL50" s="44">
        <f t="shared" si="42"/>
        <v>886</v>
      </c>
      <c r="AM50" s="4">
        <f t="shared" si="60"/>
        <v>1.2251783837601638E-2</v>
      </c>
      <c r="AN50" s="44">
        <v>193</v>
      </c>
      <c r="AO50" s="4">
        <f t="shared" si="61"/>
        <v>6.3117273857021391E-3</v>
      </c>
      <c r="AP50" s="44">
        <v>693</v>
      </c>
      <c r="AQ50" s="4">
        <f t="shared" ref="AQ50:AQ51" si="82">AP50/H49</f>
        <v>1.6603574680147587E-2</v>
      </c>
    </row>
    <row r="51" spans="1:43" x14ac:dyDescent="0.35">
      <c r="A51" s="48" t="s">
        <v>179</v>
      </c>
      <c r="B51" s="40">
        <f t="shared" si="28"/>
        <v>74088</v>
      </c>
      <c r="C51" s="12">
        <f t="shared" si="71"/>
        <v>31563</v>
      </c>
      <c r="D51" s="13">
        <f t="shared" si="71"/>
        <v>42525</v>
      </c>
      <c r="E51" s="40">
        <v>31112</v>
      </c>
      <c r="F51" s="12">
        <f t="shared" si="30"/>
        <v>16190</v>
      </c>
      <c r="G51" s="13">
        <v>14922</v>
      </c>
      <c r="H51" s="40">
        <v>42976</v>
      </c>
      <c r="I51" s="12">
        <f t="shared" si="31"/>
        <v>15373</v>
      </c>
      <c r="J51" s="12">
        <v>27603</v>
      </c>
      <c r="K51" s="70">
        <f t="shared" si="72"/>
        <v>2610</v>
      </c>
      <c r="L51" s="14">
        <f t="shared" si="73"/>
        <v>3.5731887629374078E-2</v>
      </c>
      <c r="M51" s="44">
        <v>1026</v>
      </c>
      <c r="N51" s="14">
        <f t="shared" si="45"/>
        <v>3.3373450866864003E-2</v>
      </c>
      <c r="O51" s="44">
        <v>1584</v>
      </c>
      <c r="P51" s="15">
        <f t="shared" si="46"/>
        <v>3.7445923264225432E-2</v>
      </c>
      <c r="Q51" s="70">
        <f t="shared" si="74"/>
        <v>1034</v>
      </c>
      <c r="R51" s="14">
        <f t="shared" si="75"/>
        <v>1.4155851267729041E-2</v>
      </c>
      <c r="S51" s="44">
        <v>627</v>
      </c>
      <c r="T51" s="14">
        <f t="shared" si="49"/>
        <v>2.0394886640861334E-2</v>
      </c>
      <c r="U51" s="44">
        <v>407</v>
      </c>
      <c r="V51" s="15">
        <f t="shared" si="50"/>
        <v>9.6215219498357006E-3</v>
      </c>
      <c r="W51" s="76">
        <f t="shared" si="76"/>
        <v>1576</v>
      </c>
      <c r="X51" s="12">
        <f t="shared" si="77"/>
        <v>399</v>
      </c>
      <c r="Y51" s="72">
        <f t="shared" si="78"/>
        <v>1177</v>
      </c>
      <c r="Z51" s="70">
        <f t="shared" si="79"/>
        <v>367</v>
      </c>
      <c r="AA51" s="14">
        <f t="shared" si="80"/>
        <v>5.0243688735556648E-3</v>
      </c>
      <c r="AB51" s="44">
        <v>204</v>
      </c>
      <c r="AC51" s="14">
        <f t="shared" si="56"/>
        <v>6.6356568975051234E-3</v>
      </c>
      <c r="AD51" s="44">
        <v>163</v>
      </c>
      <c r="AE51" s="15">
        <f t="shared" si="57"/>
        <v>3.8533368005484502E-3</v>
      </c>
      <c r="AF51" s="70">
        <f t="shared" si="41"/>
        <v>354</v>
      </c>
      <c r="AG51" s="4">
        <f>AF51/B50</f>
        <v>4.8463939543288981E-3</v>
      </c>
      <c r="AH51" s="44">
        <v>95</v>
      </c>
      <c r="AI51" s="4">
        <f>AH51/E50</f>
        <v>3.0901343395244446E-3</v>
      </c>
      <c r="AJ51" s="44">
        <v>259</v>
      </c>
      <c r="AK51" s="4">
        <f t="shared" si="59"/>
        <v>6.1227866953499918E-3</v>
      </c>
      <c r="AL51" s="44">
        <f t="shared" si="42"/>
        <v>862</v>
      </c>
      <c r="AM51" s="4">
        <f t="shared" si="60"/>
        <v>1.1801106182574886E-2</v>
      </c>
      <c r="AN51" s="44">
        <v>203</v>
      </c>
      <c r="AO51" s="4">
        <f t="shared" si="61"/>
        <v>6.6031291676153922E-3</v>
      </c>
      <c r="AP51" s="44">
        <v>659</v>
      </c>
      <c r="AQ51" s="4">
        <f t="shared" si="82"/>
        <v>1.5578827923689748E-2</v>
      </c>
    </row>
    <row r="52" spans="1:43" x14ac:dyDescent="0.35">
      <c r="A52" s="48" t="s">
        <v>183</v>
      </c>
      <c r="B52" s="40">
        <f t="shared" si="28"/>
        <v>74774</v>
      </c>
      <c r="C52" s="12">
        <f t="shared" si="71"/>
        <v>31991</v>
      </c>
      <c r="D52" s="13">
        <f t="shared" si="71"/>
        <v>42783</v>
      </c>
      <c r="E52" s="40">
        <v>31376</v>
      </c>
      <c r="F52" s="12">
        <f t="shared" si="30"/>
        <v>16306</v>
      </c>
      <c r="G52" s="13">
        <v>15070</v>
      </c>
      <c r="H52" s="40">
        <v>43398</v>
      </c>
      <c r="I52" s="12">
        <f t="shared" si="31"/>
        <v>15685</v>
      </c>
      <c r="J52" s="12">
        <v>27713</v>
      </c>
      <c r="K52" s="70">
        <f t="shared" ref="K52" si="83">M52+O52</f>
        <v>1891</v>
      </c>
      <c r="L52" s="14">
        <f t="shared" ref="L52" si="84">K52/B51</f>
        <v>2.5523701544109708E-2</v>
      </c>
      <c r="M52" s="44">
        <v>775</v>
      </c>
      <c r="N52" s="14">
        <f t="shared" ref="N52" si="85">M52/E51</f>
        <v>2.4910002571355103E-2</v>
      </c>
      <c r="O52" s="44">
        <v>1116</v>
      </c>
      <c r="P52" s="15">
        <f t="shared" ref="P52" si="86">O52/H51</f>
        <v>2.5967982129560686E-2</v>
      </c>
      <c r="Q52" s="70">
        <f t="shared" ref="Q52" si="87">S52+U52</f>
        <v>1115</v>
      </c>
      <c r="R52" s="14">
        <f t="shared" ref="R52" si="88">Q52/B51</f>
        <v>1.504967066191556E-2</v>
      </c>
      <c r="S52" s="44">
        <v>600</v>
      </c>
      <c r="T52" s="14">
        <f t="shared" ref="T52" si="89">S52/E51</f>
        <v>1.9285163281049112E-2</v>
      </c>
      <c r="U52" s="44">
        <v>515</v>
      </c>
      <c r="V52" s="15">
        <f t="shared" ref="V52" si="90">U52/H51</f>
        <v>1.198343261355175E-2</v>
      </c>
      <c r="W52" s="76">
        <f t="shared" ref="W52" si="91">K52-Q52</f>
        <v>776</v>
      </c>
      <c r="X52" s="12">
        <f t="shared" ref="X52" si="92">M52-S52</f>
        <v>175</v>
      </c>
      <c r="Y52" s="72">
        <f t="shared" ref="Y52" si="93">O52-U52</f>
        <v>601</v>
      </c>
      <c r="Z52" s="70">
        <f t="shared" ref="Z52" si="94">AB52+AD52</f>
        <v>646</v>
      </c>
      <c r="AA52" s="14">
        <f t="shared" ref="AA52" si="95">Z52/B51</f>
        <v>8.7193607601770869E-3</v>
      </c>
      <c r="AB52" s="44">
        <v>324</v>
      </c>
      <c r="AC52" s="14">
        <f t="shared" ref="AC52" si="96">AB52/E51</f>
        <v>1.041398817176652E-2</v>
      </c>
      <c r="AD52" s="44">
        <v>322</v>
      </c>
      <c r="AE52" s="15">
        <f t="shared" ref="AE52" si="97">AD52/H51</f>
        <v>7.4925539836187636E-3</v>
      </c>
      <c r="AF52" s="70">
        <f t="shared" si="41"/>
        <v>318</v>
      </c>
      <c r="AG52" s="14">
        <f>AF52/B51</f>
        <v>4.2921930677032715E-3</v>
      </c>
      <c r="AH52" s="44">
        <v>86</v>
      </c>
      <c r="AI52" s="14">
        <f>AH52/E51</f>
        <v>2.7642067369503726E-3</v>
      </c>
      <c r="AJ52" s="44">
        <v>232</v>
      </c>
      <c r="AK52" s="14">
        <f>AJ52/H51</f>
        <v>5.3983618763961284E-3</v>
      </c>
      <c r="AL52" s="44">
        <f t="shared" si="42"/>
        <v>729</v>
      </c>
      <c r="AM52" s="14">
        <f>AL52/B51</f>
        <v>9.8396501457725955E-3</v>
      </c>
      <c r="AN52" s="44">
        <v>150</v>
      </c>
      <c r="AO52" s="14">
        <f>AN52/E51</f>
        <v>4.821290820262278E-3</v>
      </c>
      <c r="AP52" s="44">
        <v>579</v>
      </c>
      <c r="AQ52" s="14">
        <f>AP52/H51</f>
        <v>1.3472635889798957E-2</v>
      </c>
    </row>
    <row r="53" spans="1:43" x14ac:dyDescent="0.35">
      <c r="K53" s="71"/>
      <c r="Q53" s="71"/>
      <c r="W53" s="71"/>
      <c r="Z53" s="71"/>
      <c r="AF53" s="71"/>
    </row>
    <row r="54" spans="1:43" x14ac:dyDescent="0.35">
      <c r="K54" s="71"/>
      <c r="Q54" s="71"/>
      <c r="W54" s="71"/>
      <c r="Z54" s="71"/>
      <c r="AF54" s="71"/>
    </row>
    <row r="55" spans="1:43" x14ac:dyDescent="0.35">
      <c r="K55" s="71"/>
      <c r="Q55" s="71"/>
      <c r="W55" s="71"/>
      <c r="Z55" s="71"/>
      <c r="AF55" s="71"/>
    </row>
    <row r="56" spans="1:43" x14ac:dyDescent="0.35">
      <c r="K56" s="71"/>
      <c r="Q56" s="71"/>
      <c r="W56" s="71"/>
      <c r="Z56" s="71"/>
      <c r="AF56" s="71"/>
    </row>
    <row r="57" spans="1:43" x14ac:dyDescent="0.35">
      <c r="K57" s="71"/>
      <c r="Q57" s="71"/>
      <c r="W57" s="71"/>
      <c r="Z57" s="71"/>
      <c r="AF57" s="71"/>
    </row>
    <row r="58" spans="1:43" x14ac:dyDescent="0.35">
      <c r="K58" s="71"/>
      <c r="Q58" s="71"/>
      <c r="W58" s="71"/>
      <c r="Z58" s="71"/>
      <c r="AF58" s="71"/>
    </row>
    <row r="59" spans="1:43" x14ac:dyDescent="0.35">
      <c r="K59" s="71"/>
      <c r="Q59" s="71"/>
      <c r="W59" s="71"/>
      <c r="Z59" s="71"/>
      <c r="AF59" s="71"/>
    </row>
    <row r="60" spans="1:43" x14ac:dyDescent="0.35">
      <c r="K60" s="71"/>
      <c r="Q60" s="71"/>
      <c r="W60" s="71"/>
      <c r="Z60" s="71"/>
      <c r="AF60" s="71"/>
    </row>
    <row r="61" spans="1:43" x14ac:dyDescent="0.35">
      <c r="K61" s="71"/>
      <c r="Q61" s="71"/>
      <c r="W61" s="71"/>
      <c r="Z61" s="71"/>
      <c r="AF61" s="71"/>
    </row>
    <row r="62" spans="1:43" x14ac:dyDescent="0.35">
      <c r="K62" s="71"/>
      <c r="Q62" s="71"/>
      <c r="W62" s="71"/>
      <c r="Z62" s="71"/>
      <c r="AF62" s="71"/>
    </row>
    <row r="63" spans="1:43" x14ac:dyDescent="0.35">
      <c r="K63" s="71"/>
      <c r="Q63" s="71"/>
      <c r="W63" s="71"/>
      <c r="Z63" s="71"/>
      <c r="AF63" s="71"/>
    </row>
    <row r="64" spans="1:43" x14ac:dyDescent="0.35">
      <c r="K64" s="71"/>
      <c r="Q64" s="71"/>
      <c r="W64" s="71"/>
      <c r="Z64" s="71"/>
      <c r="AF64" s="71"/>
    </row>
    <row r="65" spans="11:32" x14ac:dyDescent="0.35">
      <c r="K65" s="71"/>
      <c r="Q65" s="71"/>
      <c r="W65" s="71"/>
      <c r="Z65" s="71"/>
      <c r="AF65" s="71"/>
    </row>
    <row r="66" spans="11:32" x14ac:dyDescent="0.35">
      <c r="K66" s="71"/>
      <c r="Q66" s="71"/>
      <c r="W66" s="71"/>
      <c r="Z66" s="71"/>
      <c r="AF66" s="71"/>
    </row>
    <row r="67" spans="11:32" x14ac:dyDescent="0.35">
      <c r="K67" s="71"/>
      <c r="Q67" s="71"/>
      <c r="W67" s="71"/>
      <c r="Z67" s="71"/>
      <c r="AF67" s="71"/>
    </row>
    <row r="68" spans="11:32" x14ac:dyDescent="0.35">
      <c r="K68" s="71"/>
      <c r="Q68" s="71"/>
      <c r="W68" s="71"/>
      <c r="Z68" s="71"/>
      <c r="AF68" s="71"/>
    </row>
    <row r="69" spans="11:32" x14ac:dyDescent="0.35">
      <c r="K69" s="71"/>
      <c r="Q69" s="71"/>
      <c r="W69" s="71"/>
      <c r="Z69" s="71"/>
      <c r="AF69" s="71"/>
    </row>
    <row r="70" spans="11:32" x14ac:dyDescent="0.35">
      <c r="K70" s="71"/>
      <c r="Q70" s="71"/>
      <c r="W70" s="71"/>
      <c r="Z70" s="71"/>
      <c r="AF70" s="71"/>
    </row>
    <row r="71" spans="11:32" x14ac:dyDescent="0.35">
      <c r="K71" s="71"/>
      <c r="Q71" s="71"/>
      <c r="W71" s="71"/>
      <c r="Z71" s="71"/>
      <c r="AF71" s="71"/>
    </row>
    <row r="72" spans="11:32" x14ac:dyDescent="0.35">
      <c r="K72" s="71"/>
      <c r="Q72" s="71"/>
      <c r="W72" s="71"/>
      <c r="Z72" s="71"/>
      <c r="AF72" s="71"/>
    </row>
    <row r="73" spans="11:32" x14ac:dyDescent="0.35">
      <c r="K73" s="71"/>
      <c r="Q73" s="71"/>
      <c r="W73" s="71"/>
      <c r="Z73" s="71"/>
      <c r="AF73" s="71"/>
    </row>
    <row r="74" spans="11:32" x14ac:dyDescent="0.35">
      <c r="K74" s="71"/>
      <c r="Q74" s="71"/>
      <c r="W74" s="71"/>
      <c r="Z74" s="71"/>
      <c r="AF74" s="71"/>
    </row>
    <row r="75" spans="11:32" x14ac:dyDescent="0.35">
      <c r="K75" s="71"/>
      <c r="Q75" s="71"/>
      <c r="W75" s="71"/>
      <c r="Z75" s="71"/>
      <c r="AF75" s="71"/>
    </row>
    <row r="76" spans="11:32" x14ac:dyDescent="0.35">
      <c r="K76" s="71"/>
      <c r="Q76" s="71"/>
      <c r="W76" s="71"/>
      <c r="Z76" s="71"/>
      <c r="AF76" s="71"/>
    </row>
    <row r="77" spans="11:32" x14ac:dyDescent="0.35">
      <c r="K77" s="71"/>
      <c r="Q77" s="71"/>
      <c r="W77" s="71"/>
      <c r="Z77" s="71"/>
      <c r="AF77" s="71"/>
    </row>
    <row r="78" spans="11:32" x14ac:dyDescent="0.35">
      <c r="K78" s="71"/>
      <c r="Q78" s="71"/>
      <c r="W78" s="71"/>
      <c r="Z78" s="71"/>
      <c r="AF78" s="71"/>
    </row>
    <row r="79" spans="11:32" x14ac:dyDescent="0.35">
      <c r="K79" s="71"/>
      <c r="Q79" s="71"/>
      <c r="W79" s="71"/>
      <c r="Z79" s="71"/>
      <c r="AF79" s="71"/>
    </row>
    <row r="80" spans="11:32" x14ac:dyDescent="0.35">
      <c r="K80" s="71"/>
      <c r="Q80" s="71"/>
      <c r="W80" s="71"/>
      <c r="Z80" s="71"/>
      <c r="AF80" s="71"/>
    </row>
    <row r="81" spans="11:32" x14ac:dyDescent="0.35">
      <c r="K81" s="71"/>
      <c r="Q81" s="71"/>
      <c r="W81" s="71"/>
      <c r="Z81" s="71"/>
      <c r="AF81" s="71"/>
    </row>
    <row r="82" spans="11:32" x14ac:dyDescent="0.35">
      <c r="K82" s="71"/>
      <c r="Q82" s="71"/>
      <c r="W82" s="71"/>
      <c r="Z82" s="71"/>
      <c r="AF82" s="71"/>
    </row>
    <row r="83" spans="11:32" x14ac:dyDescent="0.35">
      <c r="K83" s="71"/>
      <c r="Q83" s="71"/>
      <c r="W83" s="71"/>
      <c r="Z83" s="71"/>
      <c r="AF83" s="71"/>
    </row>
    <row r="84" spans="11:32" x14ac:dyDescent="0.35">
      <c r="K84" s="71"/>
      <c r="Q84" s="71"/>
      <c r="W84" s="71"/>
      <c r="Z84" s="71"/>
      <c r="AF84" s="71"/>
    </row>
    <row r="85" spans="11:32" x14ac:dyDescent="0.35">
      <c r="K85" s="71"/>
      <c r="Q85" s="71"/>
      <c r="W85" s="71"/>
      <c r="Z85" s="71"/>
      <c r="AF85" s="71"/>
    </row>
    <row r="86" spans="11:32" x14ac:dyDescent="0.35">
      <c r="K86" s="71"/>
      <c r="Q86" s="71"/>
      <c r="W86" s="71"/>
      <c r="Z86" s="71"/>
      <c r="AF86" s="71"/>
    </row>
    <row r="87" spans="11:32" x14ac:dyDescent="0.35">
      <c r="K87" s="71"/>
      <c r="Q87" s="71"/>
      <c r="W87" s="71"/>
      <c r="Z87" s="71"/>
      <c r="AF87" s="71"/>
    </row>
    <row r="88" spans="11:32" x14ac:dyDescent="0.35">
      <c r="K88" s="71"/>
      <c r="Q88" s="71"/>
      <c r="W88" s="71"/>
      <c r="Z88" s="71"/>
      <c r="AF88" s="71"/>
    </row>
    <row r="89" spans="11:32" x14ac:dyDescent="0.35">
      <c r="K89" s="71"/>
      <c r="Q89" s="71"/>
      <c r="W89" s="71"/>
      <c r="Z89" s="71"/>
      <c r="AF89" s="71"/>
    </row>
    <row r="90" spans="11:32" x14ac:dyDescent="0.35">
      <c r="K90" s="71"/>
      <c r="Q90" s="71"/>
      <c r="W90" s="71"/>
      <c r="Z90" s="71"/>
      <c r="AF90" s="71"/>
    </row>
    <row r="91" spans="11:32" x14ac:dyDescent="0.35">
      <c r="K91" s="71"/>
      <c r="Q91" s="71"/>
      <c r="W91" s="71"/>
      <c r="Z91" s="71"/>
      <c r="AF91" s="71"/>
    </row>
    <row r="92" spans="11:32" x14ac:dyDescent="0.35">
      <c r="K92" s="71"/>
      <c r="Q92" s="71"/>
      <c r="W92" s="71"/>
      <c r="Z92" s="71"/>
      <c r="AF92" s="71"/>
    </row>
    <row r="93" spans="11:32" x14ac:dyDescent="0.35">
      <c r="K93" s="71"/>
      <c r="Q93" s="71"/>
      <c r="W93" s="71"/>
      <c r="Z93" s="71"/>
      <c r="AF93" s="71"/>
    </row>
    <row r="94" spans="11:32" x14ac:dyDescent="0.35">
      <c r="K94" s="71"/>
      <c r="Q94" s="71"/>
      <c r="W94" s="71"/>
      <c r="Z94" s="71"/>
      <c r="AF94" s="71"/>
    </row>
    <row r="95" spans="11:32" x14ac:dyDescent="0.35">
      <c r="K95" s="71"/>
      <c r="Q95" s="71"/>
      <c r="W95" s="71"/>
      <c r="Z95" s="71"/>
      <c r="AF95" s="71"/>
    </row>
    <row r="96" spans="11:32" x14ac:dyDescent="0.35">
      <c r="K96" s="71"/>
      <c r="Q96" s="71"/>
      <c r="W96" s="71"/>
      <c r="Z96" s="71"/>
      <c r="AF96" s="71"/>
    </row>
    <row r="97" spans="11:32" x14ac:dyDescent="0.35">
      <c r="K97" s="71"/>
      <c r="Q97" s="71"/>
      <c r="W97" s="71"/>
      <c r="Z97" s="71"/>
      <c r="AF97" s="71"/>
    </row>
    <row r="98" spans="11:32" x14ac:dyDescent="0.35">
      <c r="K98" s="71"/>
      <c r="Q98" s="71"/>
      <c r="W98" s="71"/>
      <c r="Z98" s="71"/>
      <c r="AF98" s="71"/>
    </row>
    <row r="99" spans="11:32" x14ac:dyDescent="0.35">
      <c r="K99" s="71"/>
      <c r="Q99" s="71"/>
      <c r="W99" s="71"/>
      <c r="Z99" s="71"/>
      <c r="AF99" s="71"/>
    </row>
    <row r="100" spans="11:32" x14ac:dyDescent="0.35">
      <c r="K100" s="71"/>
      <c r="Q100" s="71"/>
      <c r="W100" s="71"/>
      <c r="Z100" s="71"/>
      <c r="AF100" s="71"/>
    </row>
  </sheetData>
  <mergeCells count="3">
    <mergeCell ref="A1:R1"/>
    <mergeCell ref="W1:Y2"/>
    <mergeCell ref="A2:R2"/>
  </mergeCells>
  <phoneticPr fontId="2" type="noConversion"/>
  <conditionalFormatting sqref="W38:W52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conditionalFormatting sqref="W4:Y52">
    <cfRule type="cellIs" dxfId="5" priority="10" operator="equal">
      <formula>0</formula>
    </cfRule>
    <cfRule type="cellIs" dxfId="4" priority="11" operator="lessThan">
      <formula>0</formula>
    </cfRule>
    <cfRule type="cellIs" dxfId="3" priority="12" operator="greaterThan">
      <formula>0</formula>
    </cfRule>
  </conditionalFormatting>
  <conditionalFormatting sqref="X38:Y52">
    <cfRule type="cellIs" dxfId="2" priority="4" operator="equal">
      <formula>0</formula>
    </cfRule>
    <cfRule type="cellIs" dxfId="1" priority="5" operator="lessThan">
      <formula>0</formula>
    </cfRule>
    <cfRule type="cellIs" dxfId="0" priority="6" operator="greaterThan">
      <formula>0</formula>
    </cfRule>
  </conditionalFormatting>
  <hyperlinks>
    <hyperlink ref="W1:Y2" location="'Introduction Page'!A1" display="Return to the Main Page" xr:uid="{9C1B19DC-DB90-4FB9-A71F-24974863165C}"/>
  </hyperlink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8B6D-4363-4CF0-82CB-D838EC0DC2E7}">
  <dimension ref="A1:AB52"/>
  <sheetViews>
    <sheetView showGridLines="0" showRowColHeaders="0" zoomScaleNormal="100" workbookViewId="0">
      <selection activeCell="P26" sqref="P26"/>
    </sheetView>
  </sheetViews>
  <sheetFormatPr defaultRowHeight="14.5" x14ac:dyDescent="0.35"/>
  <cols>
    <col min="1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93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21"/>
      <c r="W4" s="16"/>
      <c r="X4" s="16"/>
      <c r="Y4" s="16"/>
      <c r="Z4" s="16"/>
      <c r="AA4" s="16"/>
    </row>
    <row r="5" spans="1:27" ht="14.5" customHeigh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16"/>
      <c r="V5" s="21"/>
      <c r="W5" s="16"/>
      <c r="X5" s="16"/>
      <c r="Y5" s="16"/>
      <c r="Z5" s="16"/>
      <c r="AA5" s="16"/>
    </row>
    <row r="6" spans="1:27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21"/>
      <c r="W6" s="16"/>
      <c r="X6" s="16"/>
      <c r="Y6" s="16"/>
      <c r="Z6" s="16"/>
      <c r="AA6" s="16"/>
    </row>
    <row r="7" spans="1:27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21"/>
      <c r="W7" s="16"/>
      <c r="X7" s="16"/>
      <c r="Y7" s="16"/>
      <c r="Z7" s="16"/>
      <c r="AA7" s="16"/>
    </row>
    <row r="8" spans="1:27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21"/>
      <c r="W8" s="16"/>
      <c r="X8" s="16"/>
      <c r="Y8" s="16"/>
      <c r="Z8" s="16"/>
      <c r="AA8" s="16"/>
    </row>
    <row r="9" spans="1:27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22"/>
      <c r="V9" s="16"/>
      <c r="W9" s="16"/>
      <c r="X9" s="16"/>
      <c r="Y9" s="16"/>
      <c r="Z9" s="16"/>
      <c r="AA9" s="16"/>
    </row>
    <row r="10" spans="1:27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22"/>
      <c r="V10" s="16"/>
      <c r="W10" s="16"/>
      <c r="X10" s="16"/>
      <c r="Y10" s="16"/>
      <c r="Z10" s="16"/>
      <c r="AA10" s="16"/>
    </row>
    <row r="11" spans="1:27" x14ac:dyDescent="0.3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22"/>
      <c r="V11" s="16"/>
      <c r="W11" s="16"/>
      <c r="X11" s="16"/>
      <c r="Y11" s="16"/>
      <c r="Z11" s="16"/>
      <c r="AA11" s="16"/>
    </row>
    <row r="12" spans="1:27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22"/>
      <c r="V12" s="16"/>
      <c r="W12" s="16"/>
      <c r="X12" s="16"/>
      <c r="Y12" s="16"/>
      <c r="Z12" s="16"/>
      <c r="AA12" s="16"/>
    </row>
    <row r="13" spans="1:27" x14ac:dyDescent="0.3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22"/>
      <c r="V13" s="16"/>
      <c r="W13" s="16"/>
      <c r="X13" s="16"/>
      <c r="Y13" s="16"/>
      <c r="Z13" s="16"/>
      <c r="AA13" s="16"/>
    </row>
    <row r="14" spans="1:27" x14ac:dyDescent="0.3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22"/>
      <c r="V14" s="16"/>
      <c r="W14" s="16"/>
      <c r="X14" s="16"/>
      <c r="Y14" s="16"/>
      <c r="Z14" s="16"/>
      <c r="AA14" s="16"/>
    </row>
    <row r="15" spans="1:27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22"/>
      <c r="V15" s="16"/>
      <c r="W15" s="16"/>
      <c r="X15" s="16"/>
      <c r="Y15" s="16"/>
      <c r="Z15" s="16"/>
      <c r="AA15" s="16"/>
    </row>
    <row r="16" spans="1:27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22"/>
      <c r="V16" s="16"/>
      <c r="W16" s="16"/>
      <c r="X16" s="16"/>
      <c r="Y16" s="16"/>
      <c r="Z16" s="16"/>
      <c r="AA16" s="16"/>
    </row>
    <row r="17" spans="1:28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1:28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1:28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1:28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1:28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1:28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1:28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59"/>
      <c r="U23" s="16"/>
      <c r="V23" s="16"/>
      <c r="W23" s="16"/>
      <c r="X23" s="16"/>
      <c r="Y23" s="16"/>
      <c r="Z23" s="16"/>
      <c r="AA23" s="16"/>
    </row>
    <row r="24" spans="1:28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1:28" ht="35.15" customHeight="1" x14ac:dyDescent="0.35">
      <c r="A25" s="16"/>
      <c r="B25" s="144"/>
      <c r="C25" s="145"/>
      <c r="D25" s="53" t="s">
        <v>136</v>
      </c>
      <c r="E25" s="55" t="s">
        <v>137</v>
      </c>
      <c r="F25" s="52" t="s">
        <v>138</v>
      </c>
      <c r="G25" s="52" t="s">
        <v>139</v>
      </c>
      <c r="H25" s="53" t="s">
        <v>140</v>
      </c>
      <c r="I25" s="53" t="s">
        <v>141</v>
      </c>
      <c r="J25" s="55" t="s">
        <v>162</v>
      </c>
      <c r="K25" s="52" t="s">
        <v>163</v>
      </c>
      <c r="L25" s="53" t="s">
        <v>177</v>
      </c>
      <c r="M25" s="53" t="s">
        <v>178</v>
      </c>
      <c r="N25" s="53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35.15" customHeight="1" x14ac:dyDescent="0.35">
      <c r="A26" s="16"/>
      <c r="B26" s="146" t="s">
        <v>100</v>
      </c>
      <c r="C26" s="147"/>
      <c r="D26" s="9">
        <f>VLOOKUP(D25,'Chart Data'!$A:$AQ,5,FALSE)</f>
        <v>30149</v>
      </c>
      <c r="E26" s="9">
        <f>VLOOKUP(E25,'Chart Data'!$A:$AQ,5,FALSE)</f>
        <v>29980</v>
      </c>
      <c r="F26" s="9">
        <f>VLOOKUP(F25,'Chart Data'!$A:$AQ,5,FALSE)</f>
        <v>30081</v>
      </c>
      <c r="G26" s="9">
        <f>VLOOKUP(G25,'Chart Data'!$A:$AQ,5,FALSE)</f>
        <v>30168</v>
      </c>
      <c r="H26" s="9">
        <f>VLOOKUP(H25,'Chart Data'!$A:$AQ,5,FALSE)</f>
        <v>29776</v>
      </c>
      <c r="I26" s="9">
        <f>VLOOKUP(I25,'Chart Data'!$A:$AQ,5,FALSE)</f>
        <v>29813</v>
      </c>
      <c r="J26" s="9">
        <f>VLOOKUP(J25,'Chart Data'!$A:$AQ,5,FALSE)</f>
        <v>29968</v>
      </c>
      <c r="K26" s="9">
        <f>VLOOKUP(K25,'Chart Data'!$A:$AQ,5,FALSE)</f>
        <v>30303</v>
      </c>
      <c r="L26" s="9">
        <f>VLOOKUP(L25,'Chart Data'!$A:$AQ,5,FALSE)</f>
        <v>30578</v>
      </c>
      <c r="M26" s="9">
        <f>VLOOKUP(M25,'Chart Data'!$A:$AQ,5,FALSE)</f>
        <v>30743</v>
      </c>
      <c r="N26" s="9">
        <f>VLOOKUP(N25,'Chart Data'!$A:$AQ,5,FALSE)</f>
        <v>31112</v>
      </c>
      <c r="O26" s="9">
        <f>VLOOKUP(O25,'Chart Data'!$A:$AQ,5,FALSE)</f>
        <v>31376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ht="35.15" customHeight="1" x14ac:dyDescent="0.35">
      <c r="A27" s="16"/>
      <c r="B27" s="148" t="s">
        <v>101</v>
      </c>
      <c r="C27" s="149"/>
      <c r="D27" s="33">
        <f>VLOOKUP(D25,'Chart Data'!$A:$AQ,6,FALSE)</f>
        <v>15778</v>
      </c>
      <c r="E27" s="33">
        <f>VLOOKUP(E25,'Chart Data'!$A:$AQ,6,FALSE)</f>
        <v>15749</v>
      </c>
      <c r="F27" s="33">
        <f>VLOOKUP(F25,'Chart Data'!$A:$AQ,6,FALSE)</f>
        <v>15849</v>
      </c>
      <c r="G27" s="33">
        <f>VLOOKUP(G25,'Chart Data'!$A:$AQ,6,FALSE)</f>
        <v>15948</v>
      </c>
      <c r="H27" s="33">
        <f>VLOOKUP(H25,'Chart Data'!$A:$AQ,6,FALSE)</f>
        <v>15622</v>
      </c>
      <c r="I27" s="33">
        <f>VLOOKUP(I25,'Chart Data'!$A:$AQ,6,FALSE)</f>
        <v>15590</v>
      </c>
      <c r="J27" s="33">
        <f>VLOOKUP(J25,'Chart Data'!$A:$AQ,6,FALSE)</f>
        <v>15662</v>
      </c>
      <c r="K27" s="33">
        <f>VLOOKUP(K25,'Chart Data'!$A:$AQ,6,FALSE)</f>
        <v>15886</v>
      </c>
      <c r="L27" s="33">
        <f>VLOOKUP(L25,'Chart Data'!$A:$AQ,6,FALSE)</f>
        <v>15971</v>
      </c>
      <c r="M27" s="33">
        <f>VLOOKUP(M25,'Chart Data'!$A:$AQ,6,FALSE)</f>
        <v>16053</v>
      </c>
      <c r="N27" s="33">
        <f>VLOOKUP(N25,'Chart Data'!$A:$AQ,6,FALSE)</f>
        <v>16190</v>
      </c>
      <c r="O27" s="33">
        <f>VLOOKUP(O25,'Chart Data'!$A:$AQ,6,FALSE)</f>
        <v>16306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ht="35.15" customHeight="1" x14ac:dyDescent="0.35">
      <c r="A28" s="16"/>
      <c r="B28" s="142" t="s">
        <v>102</v>
      </c>
      <c r="C28" s="143"/>
      <c r="D28" s="51">
        <f>VLOOKUP(D25,'Chart Data'!$A:$AQ,7,FALSE)</f>
        <v>14371</v>
      </c>
      <c r="E28" s="51">
        <f>VLOOKUP(E25,'Chart Data'!$A:$AQ,7,FALSE)</f>
        <v>14231</v>
      </c>
      <c r="F28" s="51">
        <f>VLOOKUP(F25,'Chart Data'!$A:$AQ,7,FALSE)</f>
        <v>14232</v>
      </c>
      <c r="G28" s="51">
        <f>VLOOKUP(G25,'Chart Data'!$A:$AQ,7,FALSE)</f>
        <v>14220</v>
      </c>
      <c r="H28" s="51">
        <f>VLOOKUP(H25,'Chart Data'!$A:$AQ,7,FALSE)</f>
        <v>14154</v>
      </c>
      <c r="I28" s="51">
        <f>VLOOKUP(I25,'Chart Data'!$A:$AQ,7,FALSE)</f>
        <v>14223</v>
      </c>
      <c r="J28" s="51">
        <f>VLOOKUP(J25,'Chart Data'!$A:$AQ,7,FALSE)</f>
        <v>14306</v>
      </c>
      <c r="K28" s="51">
        <f>VLOOKUP(K25,'Chart Data'!$A:$AQ,7,FALSE)</f>
        <v>14417</v>
      </c>
      <c r="L28" s="51">
        <f>VLOOKUP(L25,'Chart Data'!$A:$AQ,7,FALSE)</f>
        <v>14607</v>
      </c>
      <c r="M28" s="51">
        <f>VLOOKUP(M25,'Chart Data'!$A:$AQ,7,FALSE)</f>
        <v>14690</v>
      </c>
      <c r="N28" s="51">
        <f>VLOOKUP(N25,'Chart Data'!$A:$AQ,7,FALSE)</f>
        <v>14922</v>
      </c>
      <c r="O28" s="51">
        <f>VLOOKUP(O25,'Chart Data'!$A:$AQ,7,FALSE)</f>
        <v>15070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8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8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</sheetData>
  <mergeCells count="18">
    <mergeCell ref="Q25:S25"/>
    <mergeCell ref="Q23:S23"/>
    <mergeCell ref="Q17:S17"/>
    <mergeCell ref="Q19:S19"/>
    <mergeCell ref="Q21:S21"/>
    <mergeCell ref="Q5:S5"/>
    <mergeCell ref="Q15:S15"/>
    <mergeCell ref="Q3:S4"/>
    <mergeCell ref="Q7:S7"/>
    <mergeCell ref="Q9:S9"/>
    <mergeCell ref="Q11:S11"/>
    <mergeCell ref="Q13:S13"/>
    <mergeCell ref="B28:C28"/>
    <mergeCell ref="B25:C25"/>
    <mergeCell ref="B1:P1"/>
    <mergeCell ref="B2:P2"/>
    <mergeCell ref="B26:C26"/>
    <mergeCell ref="B27:C27"/>
  </mergeCells>
  <hyperlinks>
    <hyperlink ref="Q7" location="'GS-1101 Trend'!A1" display="GS-1101 Trend" xr:uid="{ABDF4BB1-9AA9-4262-9486-FE004666D288}"/>
    <hyperlink ref="Q9" location="'GS-1102 Trend'!A1" display="GS-1102 Trend" xr:uid="{28CF2D82-3E1C-453B-9102-C7659B2593A5}"/>
    <hyperlink ref="Q11" location="'1101 Personnel Actions'!A1" display="1101 Personnel Actions" xr:uid="{5978757A-B8E0-4CB6-8773-D245ADDDA399}"/>
    <hyperlink ref="Q13" location="'1102 Personnel Actions'!A1" display="1102 Personnel Actions" xr:uid="{816806BC-FD83-4BBE-9B2C-9B741559B607}"/>
    <hyperlink ref="Q15" location="'Total Attrition'!A1" display="Total Attrition" xr:uid="{0E480ECA-386B-4C58-AE9A-647862122150}"/>
    <hyperlink ref="Q17" location="'Attrition by Retirement'!A1" display="Attrition by Retirement" xr:uid="{1A380007-7FAF-470D-A992-9D504E8E2C1C}"/>
    <hyperlink ref="Q19" location="Accessions!A1" display="Accessions" xr:uid="{3C416996-2E8F-40AD-94FE-75DC30BE580D}"/>
    <hyperlink ref="Q5:S5" location="'Introduction Page'!A1" display="Return to the Main Page" xr:uid="{4353AD83-CDEB-4357-97B4-578D3070A49E}"/>
    <hyperlink ref="Q23" location="'Historical Data'!A1" display="Historical Data" xr:uid="{2419D0D2-17F7-4ED4-8D43-223372DD32B2}"/>
    <hyperlink ref="Q21:S21" location="Transfers!A1" display="Transfers" xr:uid="{721F2D24-35EA-44C0-AF4C-92F6166E8A82}"/>
    <hyperlink ref="Q25:S25" r:id="rId1" display="https://www.fedscope.opm.gov/datadefn/index.asp" xr:uid="{22A21E46-9282-4498-AE76-C78973EF5007}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9F2F-4C20-43B8-AC47-DD06E2551A7C}">
  <dimension ref="A1:AB51"/>
  <sheetViews>
    <sheetView showGridLines="0" showRowColHeaders="0" zoomScaleNormal="100" workbookViewId="0">
      <selection activeCell="O26" sqref="O26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94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59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59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8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2:28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8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2:28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2:28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8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16"/>
      <c r="U23" s="16"/>
      <c r="V23" s="16"/>
      <c r="W23" s="16"/>
      <c r="X23" s="16"/>
      <c r="Y23" s="16"/>
      <c r="Z23" s="16"/>
      <c r="AA23" s="16"/>
    </row>
    <row r="24" spans="2:28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8" ht="35.15" customHeight="1" x14ac:dyDescent="0.35">
      <c r="B25" s="144"/>
      <c r="C25" s="145"/>
      <c r="D25" s="53" t="s">
        <v>136</v>
      </c>
      <c r="E25" s="55" t="s">
        <v>137</v>
      </c>
      <c r="F25" s="52" t="s">
        <v>138</v>
      </c>
      <c r="G25" s="52" t="s">
        <v>139</v>
      </c>
      <c r="H25" s="53" t="s">
        <v>140</v>
      </c>
      <c r="I25" s="53" t="s">
        <v>141</v>
      </c>
      <c r="J25" s="55" t="s">
        <v>162</v>
      </c>
      <c r="K25" s="52" t="s">
        <v>163</v>
      </c>
      <c r="L25" s="53" t="s">
        <v>177</v>
      </c>
      <c r="M25" s="53" t="s">
        <v>178</v>
      </c>
      <c r="N25" s="53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8" ht="35.15" customHeight="1" x14ac:dyDescent="0.35">
      <c r="B26" s="146" t="s">
        <v>103</v>
      </c>
      <c r="C26" s="158"/>
      <c r="D26" s="9">
        <f>VLOOKUP(D25,'Chart Data'!$A:$AQ,8,FALSE)</f>
        <v>40116</v>
      </c>
      <c r="E26" s="9">
        <f>VLOOKUP(E25,'Chart Data'!$A:$AQ,8,FALSE)</f>
        <v>40297</v>
      </c>
      <c r="F26" s="9">
        <f>VLOOKUP(F25,'Chart Data'!$A:$AQ,8,FALSE)</f>
        <v>40619</v>
      </c>
      <c r="G26" s="9">
        <f>VLOOKUP(G25,'Chart Data'!$A:$AQ,8,FALSE)</f>
        <v>40632</v>
      </c>
      <c r="H26" s="9">
        <f>VLOOKUP(H25,'Chart Data'!$A:$AQ,8,FALSE)</f>
        <v>40588</v>
      </c>
      <c r="I26" s="9">
        <f>VLOOKUP(I25,'Chart Data'!$A:$AQ,8,FALSE)</f>
        <v>40802</v>
      </c>
      <c r="J26" s="9">
        <f>VLOOKUP(J25,'Chart Data'!$A:$AQ,8,FALSE)</f>
        <v>41374</v>
      </c>
      <c r="K26" s="9">
        <f>VLOOKUP(K25,'Chart Data'!$A:$AQ,8,FALSE)</f>
        <v>41569</v>
      </c>
      <c r="L26" s="9">
        <f>VLOOKUP(L25,'Chart Data'!$A:$AQ,8,FALSE)</f>
        <v>41738</v>
      </c>
      <c r="M26" s="9">
        <f>VLOOKUP(M25,'Chart Data'!$A:$AQ,8,FALSE)</f>
        <v>42301</v>
      </c>
      <c r="N26" s="9">
        <f>VLOOKUP(N25,'Chart Data'!$A:$AQ,8,FALSE)</f>
        <v>42976</v>
      </c>
      <c r="O26" s="9">
        <f>VLOOKUP(O25,'Chart Data'!$A:$AQ,8,FALSE)</f>
        <v>43398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63"/>
    </row>
    <row r="27" spans="2:28" ht="35.15" customHeight="1" x14ac:dyDescent="0.35">
      <c r="B27" s="148" t="s">
        <v>104</v>
      </c>
      <c r="C27" s="156"/>
      <c r="D27" s="33">
        <f>VLOOKUP(D25,'Chart Data'!$A:$AQ,9,FALSE)</f>
        <v>13520</v>
      </c>
      <c r="E27" s="33">
        <f>VLOOKUP(E25,'Chart Data'!$A:$AQ,9,FALSE)</f>
        <v>13614</v>
      </c>
      <c r="F27" s="33">
        <f>VLOOKUP(F25,'Chart Data'!$A:$AQ,9,FALSE)</f>
        <v>13769</v>
      </c>
      <c r="G27" s="33">
        <f>VLOOKUP(G25,'Chart Data'!$A:$AQ,9,FALSE)</f>
        <v>13916</v>
      </c>
      <c r="H27" s="33">
        <f>VLOOKUP(H25,'Chart Data'!$A:$AQ,9,FALSE)</f>
        <v>13977</v>
      </c>
      <c r="I27" s="33">
        <f>VLOOKUP(I25,'Chart Data'!$A:$AQ,9,FALSE)</f>
        <v>14164</v>
      </c>
      <c r="J27" s="33">
        <f>VLOOKUP(J25,'Chart Data'!$A:$AQ,9,FALSE)</f>
        <v>14450</v>
      </c>
      <c r="K27" s="33">
        <f>VLOOKUP(K25,'Chart Data'!$A:$AQ,9,FALSE)</f>
        <v>14653</v>
      </c>
      <c r="L27" s="33">
        <f>VLOOKUP(L25,'Chart Data'!$A:$AQ,9,FALSE)</f>
        <v>14828</v>
      </c>
      <c r="M27" s="33">
        <f>VLOOKUP(M25,'Chart Data'!$A:$AQ,9,FALSE)</f>
        <v>15049</v>
      </c>
      <c r="N27" s="33">
        <f>VLOOKUP(N25,'Chart Data'!$A:$AQ,9,FALSE)</f>
        <v>15373</v>
      </c>
      <c r="O27" s="33">
        <f>VLOOKUP(O25,'Chart Data'!$A:$AQ,9,FALSE)</f>
        <v>15685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62"/>
    </row>
    <row r="28" spans="2:28" ht="35.15" customHeight="1" x14ac:dyDescent="0.35">
      <c r="B28" s="142" t="s">
        <v>105</v>
      </c>
      <c r="C28" s="157"/>
      <c r="D28" s="51">
        <f>VLOOKUP(D25,'Chart Data'!$A:$AQ,10,FALSE)</f>
        <v>26596</v>
      </c>
      <c r="E28" s="51">
        <f>VLOOKUP(E25,'Chart Data'!$A:$AQ,10,FALSE)</f>
        <v>26683</v>
      </c>
      <c r="F28" s="51">
        <f>VLOOKUP(F25,'Chart Data'!$A:$AQ,10,FALSE)</f>
        <v>26850</v>
      </c>
      <c r="G28" s="51">
        <f>VLOOKUP(G25,'Chart Data'!$A:$AQ,10,FALSE)</f>
        <v>26716</v>
      </c>
      <c r="H28" s="51">
        <f>VLOOKUP(H25,'Chart Data'!$A:$AQ,10,FALSE)</f>
        <v>26611</v>
      </c>
      <c r="I28" s="51">
        <f>VLOOKUP(I25,'Chart Data'!$A:$AQ,10,FALSE)</f>
        <v>26638</v>
      </c>
      <c r="J28" s="51">
        <f>VLOOKUP(J25,'Chart Data'!$A:$AQ,10,FALSE)</f>
        <v>26924</v>
      </c>
      <c r="K28" s="51">
        <f>VLOOKUP(K25,'Chart Data'!$A:$AQ,10,FALSE)</f>
        <v>26916</v>
      </c>
      <c r="L28" s="51">
        <f>VLOOKUP(L25,'Chart Data'!$A:$AQ,10,FALSE)</f>
        <v>26910</v>
      </c>
      <c r="M28" s="51">
        <f>VLOOKUP(M25,'Chart Data'!$A:$AQ,10,FALSE)</f>
        <v>27252</v>
      </c>
      <c r="N28" s="51">
        <f>VLOOKUP(N25,'Chart Data'!$A:$AQ,10,FALSE)</f>
        <v>27603</v>
      </c>
      <c r="O28" s="51">
        <f>VLOOKUP(O25,'Chart Data'!$A:$AQ,10,FALSE)</f>
        <v>27713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62"/>
    </row>
    <row r="29" spans="2:28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8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8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8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2:27" x14ac:dyDescent="0.3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AAA814F4-3DCB-4E86-B17A-2246A90623ED}"/>
    <hyperlink ref="Q9" location="'GS-1102 Trend'!A1" display="GS-1102 Trend" xr:uid="{7017B1E1-D6A8-4A49-97B2-87425B1DACFC}"/>
    <hyperlink ref="Q11" location="'1101 Personnel Actions'!A1" display="1101 Personnel Actions" xr:uid="{000BA078-391E-4AF3-A797-139D860457ED}"/>
    <hyperlink ref="Q13" location="'1102 Personnel Actions'!A1" display="1102 Personnel Actions" xr:uid="{18636F60-E74D-44F2-AF19-E91832C1447E}"/>
    <hyperlink ref="Q15" location="'Total Attrition'!A1" display="Total Attrition" xr:uid="{109B7DBC-F8A5-44DD-ABFD-F1EF55C36EF8}"/>
    <hyperlink ref="Q17" location="'Attrition by Retirement'!A1" display="Attrition by Retirement" xr:uid="{CEBB085E-635A-40DF-9B36-1B7883DE1E56}"/>
    <hyperlink ref="Q19" location="Accessions!A1" display="Accessions" xr:uid="{0507E0E6-63BE-4AD6-8EDB-A574B1A87052}"/>
    <hyperlink ref="Q5:S5" location="'Introduction Page'!A1" display="Return to the Main Page" xr:uid="{1A0BADB5-BFAE-4003-9BA7-72B31AF27F5D}"/>
    <hyperlink ref="Q23" location="'Historical Data'!A1" display="Historical Data" xr:uid="{6A477880-C7C6-493F-BB64-9E96C3310C61}"/>
    <hyperlink ref="Q21:S21" location="Transfers!A1" display="Transfers" xr:uid="{30A5D76D-EACA-4FB5-8285-B53F2BDCB8DD}"/>
    <hyperlink ref="Q25:S25" r:id="rId1" display="https://www.fedscope.opm.gov/datadefn/index.asp" xr:uid="{5B6096BA-AEC4-4722-9219-E4C43A33F049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936B-1505-412F-9ACA-344AF2381CEF}">
  <dimension ref="A1:AA50"/>
  <sheetViews>
    <sheetView showGridLines="0" showRowColHeaders="0" zoomScaleNormal="100" workbookViewId="0">
      <selection activeCell="U27" sqref="U27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95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150" t="s">
        <v>86</v>
      </c>
      <c r="R5" s="150"/>
      <c r="S5" s="150"/>
      <c r="T5" s="16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60"/>
      <c r="R6" s="59"/>
      <c r="S6" s="59"/>
      <c r="T6" s="16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59"/>
      <c r="Q7" s="151" t="s">
        <v>97</v>
      </c>
      <c r="R7" s="151"/>
      <c r="S7" s="151"/>
      <c r="T7" s="16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9"/>
      <c r="Q8" s="60"/>
      <c r="R8" s="59"/>
      <c r="S8" s="59"/>
      <c r="T8" s="16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9"/>
      <c r="Q9" s="151" t="s">
        <v>98</v>
      </c>
      <c r="R9" s="151"/>
      <c r="S9" s="151"/>
      <c r="T9" s="16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59"/>
      <c r="Q10" s="59"/>
      <c r="R10" s="61"/>
      <c r="S10" s="59"/>
      <c r="T10" s="16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59"/>
      <c r="Q11" s="151" t="s">
        <v>87</v>
      </c>
      <c r="R11" s="151"/>
      <c r="S11" s="151"/>
      <c r="T11" s="16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59"/>
      <c r="Q12" s="59"/>
      <c r="R12" s="61"/>
      <c r="S12" s="59"/>
      <c r="T12" s="16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9"/>
      <c r="Q13" s="151" t="s">
        <v>88</v>
      </c>
      <c r="R13" s="151"/>
      <c r="S13" s="151"/>
      <c r="T13" s="16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9"/>
      <c r="Q14" s="59"/>
      <c r="R14" s="61"/>
      <c r="S14" s="59"/>
      <c r="T14" s="16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9"/>
      <c r="Q15" s="151" t="s">
        <v>81</v>
      </c>
      <c r="R15" s="151"/>
      <c r="S15" s="151"/>
      <c r="T15" s="16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9"/>
      <c r="Q16" s="59"/>
      <c r="R16" s="61"/>
      <c r="S16" s="59"/>
      <c r="T16" s="16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59"/>
      <c r="Q17" s="151" t="s">
        <v>82</v>
      </c>
      <c r="R17" s="151"/>
      <c r="S17" s="151"/>
      <c r="T17" s="16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59"/>
      <c r="Q18" s="59"/>
      <c r="R18" s="61"/>
      <c r="S18" s="59"/>
      <c r="T18" s="16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59"/>
      <c r="Q19" s="151" t="s">
        <v>83</v>
      </c>
      <c r="R19" s="151"/>
      <c r="S19" s="151"/>
      <c r="T19" s="16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59"/>
      <c r="Q20" s="59"/>
      <c r="R20" s="61"/>
      <c r="S20" s="59"/>
      <c r="T20" s="16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59"/>
      <c r="Q21" s="151" t="s">
        <v>158</v>
      </c>
      <c r="R21" s="151"/>
      <c r="S21" s="151"/>
      <c r="T21" s="16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59"/>
      <c r="Q22" s="59"/>
      <c r="R22" s="61"/>
      <c r="S22" s="59"/>
      <c r="T22" s="16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5.15" customHeight="1" x14ac:dyDescent="0.35">
      <c r="B25" s="163"/>
      <c r="C25" s="164"/>
      <c r="D25" s="53" t="s">
        <v>136</v>
      </c>
      <c r="E25" s="55" t="s">
        <v>137</v>
      </c>
      <c r="F25" s="52" t="s">
        <v>138</v>
      </c>
      <c r="G25" s="52" t="s">
        <v>139</v>
      </c>
      <c r="H25" s="53" t="s">
        <v>140</v>
      </c>
      <c r="I25" s="53" t="s">
        <v>141</v>
      </c>
      <c r="J25" s="55" t="s">
        <v>162</v>
      </c>
      <c r="K25" s="52" t="s">
        <v>163</v>
      </c>
      <c r="L25" s="53" t="s">
        <v>177</v>
      </c>
      <c r="M25" s="53" t="s">
        <v>178</v>
      </c>
      <c r="N25" s="53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7" ht="35.15" customHeight="1" x14ac:dyDescent="0.35">
      <c r="B26" s="165" t="s">
        <v>109</v>
      </c>
      <c r="C26" s="166"/>
      <c r="D26" s="9">
        <f>VLOOKUP(D25,'Chart Data'!$A:$AQ,13,FALSE)</f>
        <v>640</v>
      </c>
      <c r="E26" s="9">
        <f>VLOOKUP(E25,'Chart Data'!$A:$AQ,13,FALSE)</f>
        <v>676</v>
      </c>
      <c r="F26" s="9">
        <f>VLOOKUP(F25,'Chart Data'!$A:$AQ,13,FALSE)</f>
        <v>982</v>
      </c>
      <c r="G26" s="9">
        <f>VLOOKUP(G25,'Chart Data'!$A:$AQ,13,FALSE)</f>
        <v>631</v>
      </c>
      <c r="H26" s="9">
        <f>VLOOKUP(H25,'Chart Data'!$A:$AQ,13,FALSE)</f>
        <v>882</v>
      </c>
      <c r="I26" s="9">
        <f>VLOOKUP(I25,'Chart Data'!$A:$AQ,13,FALSE)</f>
        <v>686</v>
      </c>
      <c r="J26" s="9">
        <f>VLOOKUP(J25,'Chart Data'!$A:$AQ,13,FALSE)</f>
        <v>789</v>
      </c>
      <c r="K26" s="9">
        <f>VLOOKUP(K25,'Chart Data'!$A:$AQ,13,FALSE)</f>
        <v>912</v>
      </c>
      <c r="L26" s="9">
        <f>VLOOKUP(L25,'Chart Data'!$A:$AQ,13,FALSE)</f>
        <v>817</v>
      </c>
      <c r="M26" s="9">
        <f>VLOOKUP(M25,'Chart Data'!$A:$AQ,13,FALSE)</f>
        <v>682</v>
      </c>
      <c r="N26" s="9">
        <f>VLOOKUP(N25,'Chart Data'!$A:$AQ,13,FALSE)</f>
        <v>1026</v>
      </c>
      <c r="O26" s="9">
        <f>VLOOKUP(O25,'Chart Data'!$A:$AQ,13,FALSE)</f>
        <v>775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35.15" customHeight="1" x14ac:dyDescent="0.35">
      <c r="B27" s="159" t="s">
        <v>106</v>
      </c>
      <c r="C27" s="160"/>
      <c r="D27" s="33">
        <f>VLOOKUP(D25,'Chart Data'!$A:$AQ,19,FALSE)</f>
        <v>1020</v>
      </c>
      <c r="E27" s="33">
        <f>VLOOKUP(E25,'Chart Data'!$A:$AQ,19,FALSE)</f>
        <v>969</v>
      </c>
      <c r="F27" s="33">
        <f>VLOOKUP(F25,'Chart Data'!$A:$AQ,19,FALSE)</f>
        <v>899</v>
      </c>
      <c r="G27" s="33">
        <f>VLOOKUP(G25,'Chart Data'!$A:$AQ,19,FALSE)</f>
        <v>984</v>
      </c>
      <c r="H27" s="33">
        <f>VLOOKUP(H25,'Chart Data'!$A:$AQ,19,FALSE)</f>
        <v>843</v>
      </c>
      <c r="I27" s="33">
        <f>VLOOKUP(I25,'Chart Data'!$A:$AQ,19,FALSE)</f>
        <v>733</v>
      </c>
      <c r="J27" s="33">
        <f>VLOOKUP(J25,'Chart Data'!$A:$AQ,19,FALSE)</f>
        <v>664</v>
      </c>
      <c r="K27" s="33">
        <f>VLOOKUP(K25,'Chart Data'!$A:$AQ,19,FALSE)</f>
        <v>720</v>
      </c>
      <c r="L27" s="33">
        <f>VLOOKUP(L25,'Chart Data'!$A:$AQ,19,FALSE)</f>
        <v>518</v>
      </c>
      <c r="M27" s="33">
        <f>VLOOKUP(M25,'Chart Data'!$A:$AQ,19,FALSE)</f>
        <v>550</v>
      </c>
      <c r="N27" s="33">
        <f>VLOOKUP(N25,'Chart Data'!$A:$AQ,19,FALSE)</f>
        <v>627</v>
      </c>
      <c r="O27" s="33">
        <f>VLOOKUP(O25,'Chart Data'!$A:$AQ,19,FALSE)</f>
        <v>600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35.15" customHeight="1" x14ac:dyDescent="0.35">
      <c r="B28" s="161" t="s">
        <v>108</v>
      </c>
      <c r="C28" s="162"/>
      <c r="D28" s="51">
        <f>VLOOKUP(D25,'Chart Data'!$A:$AQ,24,FALSE)</f>
        <v>-380</v>
      </c>
      <c r="E28" s="51">
        <f>VLOOKUP(E25,'Chart Data'!$A:$AQ,24,FALSE)</f>
        <v>-293</v>
      </c>
      <c r="F28" s="51">
        <f>VLOOKUP(F25,'Chart Data'!$A:$AQ,24,FALSE)</f>
        <v>83</v>
      </c>
      <c r="G28" s="51">
        <f>VLOOKUP(G25,'Chart Data'!$A:$AQ,24,FALSE)</f>
        <v>-353</v>
      </c>
      <c r="H28" s="51">
        <f>VLOOKUP(H25,'Chart Data'!$A:$AQ,24,FALSE)</f>
        <v>39</v>
      </c>
      <c r="I28" s="51">
        <f>VLOOKUP(I25,'Chart Data'!$A:$AQ,24,FALSE)</f>
        <v>-47</v>
      </c>
      <c r="J28" s="51">
        <f>VLOOKUP(J25,'Chart Data'!$A:$AQ,24,FALSE)</f>
        <v>125</v>
      </c>
      <c r="K28" s="51">
        <f>VLOOKUP(K25,'Chart Data'!$A:$AQ,24,FALSE)</f>
        <v>192</v>
      </c>
      <c r="L28" s="51">
        <f>VLOOKUP(L25,'Chart Data'!$A:$AQ,24,FALSE)</f>
        <v>299</v>
      </c>
      <c r="M28" s="51">
        <f>VLOOKUP(M25,'Chart Data'!$A:$AQ,24,FALSE)</f>
        <v>132</v>
      </c>
      <c r="N28" s="51">
        <f>VLOOKUP(N25,'Chart Data'!$A:$AQ,24,FALSE)</f>
        <v>399</v>
      </c>
      <c r="O28" s="51">
        <f>VLOOKUP(O25,'Chart Data'!$A:$AQ,24,FALSE)</f>
        <v>175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05072FE1-71E2-4F70-B0AE-CE6D0BE4168F}"/>
    <hyperlink ref="Q9" location="'GS-1102 Trend'!A1" display="GS-1102 Trend" xr:uid="{9A710DC1-091C-4CD5-B686-100735B135DC}"/>
    <hyperlink ref="Q11" location="'1101 Personnel Actions'!A1" display="1101 Personnel Actions" xr:uid="{725985E6-1483-4568-99C9-92562E20BF02}"/>
    <hyperlink ref="Q13" location="'1102 Personnel Actions'!A1" display="1102 Personnel Actions" xr:uid="{A2440444-5A7E-4AD9-AF3A-87DC7721EDCC}"/>
    <hyperlink ref="Q15" location="'Total Attrition'!A1" display="Total Attrition" xr:uid="{A08997C0-7CC2-44EF-A3D7-A29AE4EA09C4}"/>
    <hyperlink ref="Q17" location="'Attrition by Retirement'!A1" display="Attrition by Retirement" xr:uid="{3C525F4A-AAB9-41B9-8FD2-ADC5CCAE3D9C}"/>
    <hyperlink ref="Q19" location="Accessions!A1" display="Accessions" xr:uid="{0E5BC318-A9B2-45D2-8495-A5EC8A66A0F1}"/>
    <hyperlink ref="Q5:S5" location="'Introduction Page'!A1" display="Return to the Main Page" xr:uid="{C6279A49-936F-4EF2-A157-1ECF84EB6EE0}"/>
    <hyperlink ref="Q23" location="'Historical Data'!A1" display="Historical Data" xr:uid="{2259D51F-7EFD-4F9E-8A24-C27E7561E59D}"/>
    <hyperlink ref="Q21:S21" location="Transfers!A1" display="Transfers" xr:uid="{E4ADBEDD-4349-45A4-9AF7-2AC213FF401D}"/>
    <hyperlink ref="Q25:S25" r:id="rId1" display="https://www.fedscope.opm.gov/datadefn/index.asp" xr:uid="{28331801-194A-4498-AEEC-7FCCDE5F550F}"/>
  </hyperlinks>
  <pageMargins left="0.7" right="0.7" top="0.75" bottom="0.75" header="0.3" footer="0.3"/>
  <pageSetup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3AC8-5224-4FEF-9899-EC571D18F255}">
  <dimension ref="A1:AA65"/>
  <sheetViews>
    <sheetView showGridLines="0" showRowColHeaders="0" zoomScaleNormal="100" workbookViewId="0">
      <selection activeCell="O26" sqref="O26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96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59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59"/>
      <c r="U24" s="16"/>
      <c r="V24" s="16"/>
      <c r="W24" s="16"/>
      <c r="X24" s="16"/>
      <c r="Y24" s="16"/>
      <c r="Z24" s="16"/>
      <c r="AA24" s="16"/>
    </row>
    <row r="25" spans="2:27" ht="35.15" customHeight="1" x14ac:dyDescent="0.35">
      <c r="B25" s="163"/>
      <c r="C25" s="164"/>
      <c r="D25" s="53" t="s">
        <v>136</v>
      </c>
      <c r="E25" s="55" t="s">
        <v>137</v>
      </c>
      <c r="F25" s="52" t="s">
        <v>138</v>
      </c>
      <c r="G25" s="52" t="s">
        <v>139</v>
      </c>
      <c r="H25" s="53" t="s">
        <v>140</v>
      </c>
      <c r="I25" s="53" t="s">
        <v>141</v>
      </c>
      <c r="J25" s="55" t="s">
        <v>162</v>
      </c>
      <c r="K25" s="52" t="s">
        <v>163</v>
      </c>
      <c r="L25" s="53" t="s">
        <v>177</v>
      </c>
      <c r="M25" s="53" t="s">
        <v>178</v>
      </c>
      <c r="N25" s="53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7" ht="35.15" customHeight="1" x14ac:dyDescent="0.35">
      <c r="B26" s="165" t="s">
        <v>110</v>
      </c>
      <c r="C26" s="166"/>
      <c r="D26" s="9">
        <f>VLOOKUP(D25,'Chart Data'!$A:$AQ,15,FALSE)</f>
        <v>956</v>
      </c>
      <c r="E26" s="9">
        <f>VLOOKUP(E25,'Chart Data'!$A:$AQ,15,FALSE)</f>
        <v>817</v>
      </c>
      <c r="F26" s="9">
        <f>VLOOKUP(F25,'Chart Data'!$A:$AQ,15,FALSE)</f>
        <v>958</v>
      </c>
      <c r="G26" s="9">
        <f>VLOOKUP(G25,'Chart Data'!$A:$AQ,15,FALSE)</f>
        <v>683</v>
      </c>
      <c r="H26" s="9">
        <f>VLOOKUP(H25,'Chart Data'!$A:$AQ,15,FALSE)</f>
        <v>1019</v>
      </c>
      <c r="I26" s="9">
        <f>VLOOKUP(I25,'Chart Data'!$A:$AQ,15,FALSE)</f>
        <v>930</v>
      </c>
      <c r="J26" s="9">
        <f>VLOOKUP(J25,'Chart Data'!$A:$AQ,15,FALSE)</f>
        <v>1248</v>
      </c>
      <c r="K26" s="9">
        <f>VLOOKUP(K25,'Chart Data'!$A:$AQ,15,FALSE)</f>
        <v>1131</v>
      </c>
      <c r="L26" s="9">
        <f>VLOOKUP(L25,'Chart Data'!$A:$AQ,15,FALSE)</f>
        <v>1366</v>
      </c>
      <c r="M26" s="9">
        <f>VLOOKUP(M25,'Chart Data'!$A:$AQ,15,FALSE)</f>
        <v>1403</v>
      </c>
      <c r="N26" s="9">
        <f>VLOOKUP(N25,'Chart Data'!$A:$AQ,15,FALSE)</f>
        <v>1584</v>
      </c>
      <c r="O26" s="9">
        <f>VLOOKUP(O25,'Chart Data'!$A:$AQ,15,FALSE)</f>
        <v>1116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35.15" customHeight="1" x14ac:dyDescent="0.35">
      <c r="B27" s="159" t="s">
        <v>111</v>
      </c>
      <c r="C27" s="160"/>
      <c r="D27" s="33">
        <f>VLOOKUP(D25,'Chart Data'!$A:$AQ,21,FALSE)</f>
        <v>446</v>
      </c>
      <c r="E27" s="33">
        <f>VLOOKUP(E25,'Chart Data'!$A:$AQ,21,FALSE)</f>
        <v>473</v>
      </c>
      <c r="F27" s="33">
        <f>VLOOKUP(F25,'Chart Data'!$A:$AQ,21,FALSE)</f>
        <v>533</v>
      </c>
      <c r="G27" s="33">
        <f>VLOOKUP(G25,'Chart Data'!$A:$AQ,21,FALSE)</f>
        <v>710</v>
      </c>
      <c r="H27" s="33">
        <f>VLOOKUP(H25,'Chart Data'!$A:$AQ,21,FALSE)</f>
        <v>547</v>
      </c>
      <c r="I27" s="33">
        <f>VLOOKUP(I25,'Chart Data'!$A:$AQ,21,FALSE)</f>
        <v>505</v>
      </c>
      <c r="J27" s="33">
        <f>VLOOKUP(J25,'Chart Data'!$A:$AQ,21,FALSE)</f>
        <v>512</v>
      </c>
      <c r="K27" s="33">
        <f>VLOOKUP(K25,'Chart Data'!$A:$AQ,21,FALSE)</f>
        <v>592</v>
      </c>
      <c r="L27" s="33">
        <f>VLOOKUP(L25,'Chart Data'!$A:$AQ,21,FALSE)</f>
        <v>418</v>
      </c>
      <c r="M27" s="33">
        <f>VLOOKUP(M25,'Chart Data'!$A:$AQ,21,FALSE)</f>
        <v>417</v>
      </c>
      <c r="N27" s="33">
        <f>VLOOKUP(N25,'Chart Data'!$A:$AQ,21,FALSE)</f>
        <v>407</v>
      </c>
      <c r="O27" s="33">
        <f>VLOOKUP(O25,'Chart Data'!$A:$AQ,21,FALSE)</f>
        <v>515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35.15" customHeight="1" x14ac:dyDescent="0.35">
      <c r="B28" s="161" t="s">
        <v>107</v>
      </c>
      <c r="C28" s="162"/>
      <c r="D28" s="51">
        <f>VLOOKUP(D25,'Chart Data'!$A:$AQ,25,FALSE)</f>
        <v>510</v>
      </c>
      <c r="E28" s="51">
        <f>VLOOKUP(E25,'Chart Data'!$A:$AQ,25,FALSE)</f>
        <v>344</v>
      </c>
      <c r="F28" s="51">
        <f>VLOOKUP(F25,'Chart Data'!$A:$AQ,25,FALSE)</f>
        <v>425</v>
      </c>
      <c r="G28" s="51">
        <f>VLOOKUP(G25,'Chart Data'!$A:$AQ,25,FALSE)</f>
        <v>-27</v>
      </c>
      <c r="H28" s="51">
        <f>VLOOKUP(H25,'Chart Data'!$A:$AQ,25,FALSE)</f>
        <v>472</v>
      </c>
      <c r="I28" s="51">
        <f>VLOOKUP(I25,'Chart Data'!$A:$AQ,25,FALSE)</f>
        <v>425</v>
      </c>
      <c r="J28" s="51">
        <f>VLOOKUP(J25,'Chart Data'!$A:$AQ,25,FALSE)</f>
        <v>736</v>
      </c>
      <c r="K28" s="51">
        <f>VLOOKUP(K25,'Chart Data'!$A:$AQ,25,FALSE)</f>
        <v>539</v>
      </c>
      <c r="L28" s="51">
        <f>VLOOKUP(L25,'Chart Data'!$A:$AQ,25,FALSE)</f>
        <v>948</v>
      </c>
      <c r="M28" s="51">
        <f>VLOOKUP(M25,'Chart Data'!$A:$AQ,25,FALSE)</f>
        <v>986</v>
      </c>
      <c r="N28" s="51">
        <f>VLOOKUP(N25,'Chart Data'!$A:$AQ,25,FALSE)</f>
        <v>1177</v>
      </c>
      <c r="O28" s="51">
        <f>VLOOKUP(O25,'Chart Data'!$A:$AQ,25,FALSE)</f>
        <v>601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3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3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2:27" x14ac:dyDescent="0.3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x14ac:dyDescent="0.3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4" spans="2:27" x14ac:dyDescent="0.35">
      <c r="D54">
        <v>1147</v>
      </c>
      <c r="E54">
        <v>477</v>
      </c>
      <c r="G54">
        <v>1147</v>
      </c>
      <c r="H54">
        <v>723</v>
      </c>
      <c r="I54">
        <v>827</v>
      </c>
      <c r="J54">
        <v>644</v>
      </c>
      <c r="K54">
        <v>1039</v>
      </c>
      <c r="L54">
        <v>641</v>
      </c>
      <c r="M54">
        <v>956</v>
      </c>
      <c r="N54">
        <v>817</v>
      </c>
      <c r="O54">
        <v>958</v>
      </c>
      <c r="P54">
        <v>681</v>
      </c>
      <c r="Q54">
        <v>1014</v>
      </c>
      <c r="R54">
        <v>564</v>
      </c>
    </row>
    <row r="55" spans="2:27" x14ac:dyDescent="0.35">
      <c r="D55">
        <v>723</v>
      </c>
      <c r="E55">
        <v>468</v>
      </c>
      <c r="G55">
        <v>477</v>
      </c>
      <c r="H55">
        <v>468</v>
      </c>
      <c r="I55">
        <v>498</v>
      </c>
      <c r="J55">
        <v>460</v>
      </c>
      <c r="K55">
        <v>444</v>
      </c>
      <c r="L55">
        <v>482</v>
      </c>
      <c r="M55">
        <v>446</v>
      </c>
      <c r="N55">
        <v>473</v>
      </c>
      <c r="O55">
        <v>533</v>
      </c>
      <c r="P55">
        <v>708</v>
      </c>
      <c r="Q55">
        <v>542</v>
      </c>
      <c r="R55">
        <v>319</v>
      </c>
    </row>
    <row r="56" spans="2:27" x14ac:dyDescent="0.35">
      <c r="D56">
        <v>827</v>
      </c>
      <c r="E56">
        <v>498</v>
      </c>
    </row>
    <row r="57" spans="2:27" x14ac:dyDescent="0.35">
      <c r="D57">
        <v>644</v>
      </c>
      <c r="E57">
        <v>460</v>
      </c>
    </row>
    <row r="58" spans="2:27" x14ac:dyDescent="0.35">
      <c r="D58">
        <v>1039</v>
      </c>
      <c r="E58">
        <v>444</v>
      </c>
    </row>
    <row r="59" spans="2:27" x14ac:dyDescent="0.35">
      <c r="D59">
        <v>641</v>
      </c>
      <c r="E59">
        <v>482</v>
      </c>
    </row>
    <row r="60" spans="2:27" x14ac:dyDescent="0.35">
      <c r="D60">
        <v>956</v>
      </c>
      <c r="E60">
        <v>446</v>
      </c>
    </row>
    <row r="61" spans="2:27" x14ac:dyDescent="0.35">
      <c r="D61">
        <v>817</v>
      </c>
      <c r="E61">
        <v>473</v>
      </c>
    </row>
    <row r="62" spans="2:27" x14ac:dyDescent="0.35">
      <c r="D62">
        <v>958</v>
      </c>
      <c r="E62">
        <v>533</v>
      </c>
    </row>
    <row r="63" spans="2:27" x14ac:dyDescent="0.35">
      <c r="D63">
        <v>681</v>
      </c>
      <c r="E63">
        <v>708</v>
      </c>
    </row>
    <row r="64" spans="2:27" x14ac:dyDescent="0.35">
      <c r="D64">
        <v>1014</v>
      </c>
      <c r="E64">
        <v>542</v>
      </c>
    </row>
    <row r="65" spans="4:5" x14ac:dyDescent="0.35">
      <c r="D65">
        <v>564</v>
      </c>
      <c r="E65">
        <v>319</v>
      </c>
    </row>
  </sheetData>
  <mergeCells count="18">
    <mergeCell ref="Q25:S25"/>
    <mergeCell ref="Q3:S4"/>
    <mergeCell ref="Q15:S15"/>
    <mergeCell ref="Q17:S17"/>
    <mergeCell ref="Q19:S19"/>
    <mergeCell ref="Q21:S21"/>
    <mergeCell ref="Q23:S23"/>
    <mergeCell ref="Q5:S5"/>
    <mergeCell ref="Q7:S7"/>
    <mergeCell ref="Q9:S9"/>
    <mergeCell ref="Q11:S11"/>
    <mergeCell ref="Q13:S13"/>
    <mergeCell ref="B27:C27"/>
    <mergeCell ref="B28:C28"/>
    <mergeCell ref="B1:P1"/>
    <mergeCell ref="B2:P2"/>
    <mergeCell ref="B25:C25"/>
    <mergeCell ref="B26:C26"/>
  </mergeCells>
  <hyperlinks>
    <hyperlink ref="Q7" location="'GS-1101 Trend'!A1" display="GS-1101 Trend" xr:uid="{3DA555B1-48A3-4BF7-9894-08623CEE8CCA}"/>
    <hyperlink ref="Q9" location="'GS-1102 Trend'!A1" display="GS-1102 Trend" xr:uid="{45446E12-6BA1-452A-8420-D032B1FAD199}"/>
    <hyperlink ref="Q11" location="'1101 Personnel Actions'!A1" display="1101 Personnel Actions" xr:uid="{491DAD6E-056C-4B00-B765-266BD182A93D}"/>
    <hyperlink ref="Q13" location="'1102 Personnel Actions'!A1" display="1102 Personnel Actions" xr:uid="{DABFAD89-A4A8-4BD1-83AD-D239B5063F10}"/>
    <hyperlink ref="Q15" location="'Total Attrition'!A1" display="Total Attrition" xr:uid="{93FEF893-AE93-415D-9BF5-83F801EAFC7C}"/>
    <hyperlink ref="Q17" location="'Attrition by Retirement'!A1" display="Attrition by Retirement" xr:uid="{B107E5D2-454D-4FF0-B38B-00501D3C5795}"/>
    <hyperlink ref="Q19" location="Accessions!A1" display="Accessions" xr:uid="{2833CD1E-9DD0-4F14-98C3-6C2C7169ED93}"/>
    <hyperlink ref="Q5:S5" location="'Introduction Page'!A1" display="Return to the Main Page" xr:uid="{A91F37EF-F60E-419D-8137-9C3C42666A07}"/>
    <hyperlink ref="Q23" location="'Historical Data'!A1" display="Historical Data" xr:uid="{5A48D3EC-2AA7-44BA-AAC6-D9326FD0123E}"/>
    <hyperlink ref="Q21:S21" location="Transfers!A1" display="Transfers" xr:uid="{64B48512-C1DB-44EB-8AA1-49701272309A}"/>
    <hyperlink ref="Q25:S25" r:id="rId1" display="https://www.fedscope.opm.gov/datadefn/index.asp" xr:uid="{12173EB7-074E-42E3-AA3D-ADA98E1DBB87}"/>
  </hyperlinks>
  <pageMargins left="0.7" right="0.7" top="0.75" bottom="0.75" header="0.3" footer="0.3"/>
  <pageSetup orientation="portrait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C58-AF8B-443B-AA63-12D2D2793884}">
  <dimension ref="A1:AA47"/>
  <sheetViews>
    <sheetView showGridLines="0" showRowColHeaders="0" zoomScaleNormal="100" workbookViewId="0">
      <selection activeCell="O26" sqref="O26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125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59"/>
      <c r="Q5" s="150" t="s">
        <v>86</v>
      </c>
      <c r="R5" s="150"/>
      <c r="S5" s="150"/>
      <c r="T5" s="16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9"/>
      <c r="Q6" s="60"/>
      <c r="R6" s="59"/>
      <c r="S6" s="59"/>
      <c r="T6" s="16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59"/>
      <c r="Q7" s="151" t="s">
        <v>97</v>
      </c>
      <c r="R7" s="151"/>
      <c r="S7" s="151"/>
      <c r="T7" s="16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9"/>
      <c r="Q8" s="60"/>
      <c r="R8" s="59"/>
      <c r="S8" s="59"/>
      <c r="T8" s="16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9"/>
      <c r="Q9" s="151" t="s">
        <v>98</v>
      </c>
      <c r="R9" s="151"/>
      <c r="S9" s="151"/>
      <c r="T9" s="16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59"/>
      <c r="Q10" s="59"/>
      <c r="R10" s="61"/>
      <c r="S10" s="59"/>
      <c r="T10" s="16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59"/>
      <c r="Q11" s="151" t="s">
        <v>87</v>
      </c>
      <c r="R11" s="151"/>
      <c r="S11" s="151"/>
      <c r="T11" s="16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59"/>
      <c r="Q12" s="59"/>
      <c r="R12" s="61"/>
      <c r="S12" s="59"/>
      <c r="T12" s="16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59"/>
      <c r="Q13" s="151" t="s">
        <v>88</v>
      </c>
      <c r="R13" s="151"/>
      <c r="S13" s="151"/>
      <c r="T13" s="16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9"/>
      <c r="Q14" s="59"/>
      <c r="R14" s="61"/>
      <c r="S14" s="59"/>
      <c r="T14" s="16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9"/>
      <c r="Q15" s="151" t="s">
        <v>81</v>
      </c>
      <c r="R15" s="151"/>
      <c r="S15" s="151"/>
      <c r="T15" s="16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9"/>
      <c r="Q16" s="59"/>
      <c r="R16" s="61"/>
      <c r="S16" s="59"/>
      <c r="T16" s="16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59"/>
      <c r="Q17" s="151" t="s">
        <v>82</v>
      </c>
      <c r="R17" s="151"/>
      <c r="S17" s="151"/>
      <c r="T17" s="16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59"/>
      <c r="Q18" s="59"/>
      <c r="R18" s="61"/>
      <c r="S18" s="59"/>
      <c r="T18" s="16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59"/>
      <c r="Q19" s="151" t="s">
        <v>83</v>
      </c>
      <c r="R19" s="151"/>
      <c r="S19" s="151"/>
      <c r="T19" s="16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59"/>
      <c r="Q20" s="59"/>
      <c r="R20" s="61"/>
      <c r="S20" s="59"/>
      <c r="T20" s="16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59"/>
      <c r="Q21" s="151" t="s">
        <v>158</v>
      </c>
      <c r="R21" s="151"/>
      <c r="S21" s="151"/>
      <c r="T21" s="16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16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16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44"/>
      <c r="C25" s="145"/>
      <c r="D25" s="54" t="s">
        <v>136</v>
      </c>
      <c r="E25" s="53" t="s">
        <v>137</v>
      </c>
      <c r="F25" s="55" t="s">
        <v>138</v>
      </c>
      <c r="G25" s="52" t="s">
        <v>139</v>
      </c>
      <c r="H25" s="52" t="s">
        <v>140</v>
      </c>
      <c r="I25" s="53" t="s">
        <v>141</v>
      </c>
      <c r="J25" s="54" t="s">
        <v>162</v>
      </c>
      <c r="K25" s="52" t="s">
        <v>163</v>
      </c>
      <c r="L25" s="52" t="s">
        <v>177</v>
      </c>
      <c r="M25" s="52" t="s">
        <v>178</v>
      </c>
      <c r="N25" s="52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69" t="s">
        <v>116</v>
      </c>
      <c r="C26" s="170"/>
      <c r="D26" s="57">
        <f>VLOOKUP(D25,'Chart Data'!$A:$AQ,17,FALSE)</f>
        <v>1466</v>
      </c>
      <c r="E26" s="57">
        <f>VLOOKUP(E25,'Chart Data'!$A:$AQ,17,FALSE)</f>
        <v>1442</v>
      </c>
      <c r="F26" s="57">
        <f>VLOOKUP(F25,'Chart Data'!$A:$AQ,17,FALSE)</f>
        <v>1432</v>
      </c>
      <c r="G26" s="57">
        <f>VLOOKUP(G25,'Chart Data'!$A:$AQ,17,FALSE)</f>
        <v>1694</v>
      </c>
      <c r="H26" s="57">
        <f>VLOOKUP(H25,'Chart Data'!$A:$AQ,17,FALSE)</f>
        <v>1390</v>
      </c>
      <c r="I26" s="57">
        <f>VLOOKUP(I25,'Chart Data'!$A:$AQ,17,FALSE)</f>
        <v>1238</v>
      </c>
      <c r="J26" s="57">
        <f>VLOOKUP(J25,'Chart Data'!$A:$AQ,17,FALSE)</f>
        <v>1176</v>
      </c>
      <c r="K26" s="57">
        <f>VLOOKUP(K25,'Chart Data'!$A:$AQ,17,FALSE)</f>
        <v>1312</v>
      </c>
      <c r="L26" s="57">
        <f>VLOOKUP(L25,'Chart Data'!$A:$AQ,17,FALSE)</f>
        <v>936</v>
      </c>
      <c r="M26" s="57">
        <f>VLOOKUP(M25,'Chart Data'!$A:$AQ,17,FALSE)</f>
        <v>967</v>
      </c>
      <c r="N26" s="57">
        <f>VLOOKUP(N25,'Chart Data'!$A:$AQ,17,FALSE)</f>
        <v>1034</v>
      </c>
      <c r="O26" s="57">
        <f>VLOOKUP(O25,'Chart Data'!$A:$AQ,17,FALSE)</f>
        <v>1115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69" t="s">
        <v>117</v>
      </c>
      <c r="C27" s="170"/>
      <c r="D27" s="58">
        <f>VLOOKUP(D25,'Chart Data'!$A:$AQ,18,FALSE)</f>
        <v>2.0713821459858141E-2</v>
      </c>
      <c r="E27" s="58">
        <f>VLOOKUP(E25,'Chart Data'!$A:$AQ,18,FALSE)</f>
        <v>2.0522308403899524E-2</v>
      </c>
      <c r="F27" s="58">
        <f>VLOOKUP(F25,'Chart Data'!$A:$AQ,18,FALSE)</f>
        <v>2.0376510095763904E-2</v>
      </c>
      <c r="G27" s="58">
        <f>VLOOKUP(G25,'Chart Data'!$A:$AQ,18,FALSE)</f>
        <v>2.3960396039603961E-2</v>
      </c>
      <c r="H27" s="58">
        <f>VLOOKUP(H25,'Chart Data'!$A:$AQ,18,FALSE)</f>
        <v>1.9632768361581922E-2</v>
      </c>
      <c r="I27" s="58">
        <f>VLOOKUP(I25,'Chart Data'!$A:$AQ,18,FALSE)</f>
        <v>1.7594224319254163E-2</v>
      </c>
      <c r="J27" s="58">
        <f>VLOOKUP(J25,'Chart Data'!$A:$AQ,18,FALSE)</f>
        <v>1.6653685477589747E-2</v>
      </c>
      <c r="K27" s="58">
        <f>VLOOKUP(K25,'Chart Data'!$A:$AQ,18,FALSE)</f>
        <v>1.8390289030304728E-2</v>
      </c>
      <c r="L27" s="58">
        <f>VLOOKUP(L25,'Chart Data'!$A:$AQ,18,FALSE)</f>
        <v>1.3023152270703473E-2</v>
      </c>
      <c r="M27" s="58">
        <f>VLOOKUP(M25,'Chart Data'!$A:$AQ,18,FALSE)</f>
        <v>1.3371867913048289E-2</v>
      </c>
      <c r="N27" s="58">
        <f>VLOOKUP(N25,'Chart Data'!$A:$AQ,18,FALSE)</f>
        <v>1.4155851267729041E-2</v>
      </c>
      <c r="O27" s="58">
        <f>VLOOKUP(O25,'Chart Data'!$A:$AQ,18,FALSE)</f>
        <v>1.504967066191556E-2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46" t="s">
        <v>114</v>
      </c>
      <c r="C28" s="158"/>
      <c r="D28" s="57">
        <f>VLOOKUP(D25,'Chart Data'!$A:$AQ,19,FALSE)</f>
        <v>1020</v>
      </c>
      <c r="E28" s="57">
        <f>VLOOKUP(E25,'Chart Data'!$A:$AQ,19,FALSE)</f>
        <v>969</v>
      </c>
      <c r="F28" s="57">
        <f>VLOOKUP(F25,'Chart Data'!$A:$AQ,19,FALSE)</f>
        <v>899</v>
      </c>
      <c r="G28" s="57">
        <f>VLOOKUP(G25,'Chart Data'!$A:$AQ,19,FALSE)</f>
        <v>984</v>
      </c>
      <c r="H28" s="57">
        <f>VLOOKUP(H25,'Chart Data'!$A:$AQ,19,FALSE)</f>
        <v>843</v>
      </c>
      <c r="I28" s="57">
        <f>VLOOKUP(I25,'Chart Data'!$A:$AQ,19,FALSE)</f>
        <v>733</v>
      </c>
      <c r="J28" s="57">
        <f>VLOOKUP(J25,'Chart Data'!$A:$AQ,19,FALSE)</f>
        <v>664</v>
      </c>
      <c r="K28" s="57">
        <f>VLOOKUP(K25,'Chart Data'!$A:$AQ,19,FALSE)</f>
        <v>720</v>
      </c>
      <c r="L28" s="57">
        <f>VLOOKUP(L25,'Chart Data'!$A:$AQ,19,FALSE)</f>
        <v>518</v>
      </c>
      <c r="M28" s="57">
        <f>VLOOKUP(M25,'Chart Data'!$A:$AQ,19,FALSE)</f>
        <v>550</v>
      </c>
      <c r="N28" s="57">
        <f>VLOOKUP(N25,'Chart Data'!$A:$AQ,19,FALSE)</f>
        <v>627</v>
      </c>
      <c r="O28" s="57">
        <f>VLOOKUP(O25,'Chart Data'!$A:$AQ,19,FALSE)</f>
        <v>600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48" t="s">
        <v>113</v>
      </c>
      <c r="C29" s="156"/>
      <c r="D29" s="58">
        <f>VLOOKUP(D25,'Chart Data'!$A:$AQ,20,FALSE)</f>
        <v>3.3151326053042121E-2</v>
      </c>
      <c r="E29" s="58">
        <f>VLOOKUP(E25,'Chart Data'!$A:$AQ,20,FALSE)</f>
        <v>3.2140369498159141E-2</v>
      </c>
      <c r="F29" s="58">
        <f>VLOOKUP(F25,'Chart Data'!$A:$AQ,20,FALSE)</f>
        <v>2.9986657771847898E-2</v>
      </c>
      <c r="G29" s="58">
        <f>VLOOKUP(G25,'Chart Data'!$A:$AQ,20,FALSE)</f>
        <v>3.2711678468136031E-2</v>
      </c>
      <c r="H29" s="58">
        <f>VLOOKUP(H25,'Chart Data'!$A:$AQ,20,FALSE)</f>
        <v>2.7943516308671441E-2</v>
      </c>
      <c r="I29" s="58">
        <f>VLOOKUP(I25,'Chart Data'!$A:$AQ,20,FALSE)</f>
        <v>2.4617141321869963E-2</v>
      </c>
      <c r="J29" s="58">
        <f>VLOOKUP(J25,'Chart Data'!$A:$AQ,20,FALSE)</f>
        <v>2.2272163150303559E-2</v>
      </c>
      <c r="K29" s="58">
        <f>VLOOKUP(K25,'Chart Data'!$A:$AQ,20,FALSE)</f>
        <v>2.4025627335824879E-2</v>
      </c>
      <c r="L29" s="58">
        <f>VLOOKUP(L25,'Chart Data'!$A:$AQ,20,FALSE)</f>
        <v>1.7094017094017096E-2</v>
      </c>
      <c r="M29" s="58">
        <f>VLOOKUP(M25,'Chart Data'!$A:$AQ,20,FALSE)</f>
        <v>1.7986787886715941E-2</v>
      </c>
      <c r="N29" s="58">
        <f>VLOOKUP(N25,'Chart Data'!$A:$AQ,20,FALSE)</f>
        <v>2.0394886640861334E-2</v>
      </c>
      <c r="O29" s="58">
        <f>VLOOKUP(O25,'Chart Data'!$A:$AQ,20,FALSE)</f>
        <v>1.9285163281049112E-2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48" t="s">
        <v>115</v>
      </c>
      <c r="C30" s="156"/>
      <c r="D30" s="57">
        <f>VLOOKUP(D25,'Chart Data'!$A:$AQ,21,FALSE)</f>
        <v>446</v>
      </c>
      <c r="E30" s="57">
        <f>VLOOKUP(E25,'Chart Data'!$A:$AQ,21,FALSE)</f>
        <v>473</v>
      </c>
      <c r="F30" s="57">
        <f>VLOOKUP(F25,'Chart Data'!$A:$AQ,21,FALSE)</f>
        <v>533</v>
      </c>
      <c r="G30" s="57">
        <f>VLOOKUP(G25,'Chart Data'!$A:$AQ,21,FALSE)</f>
        <v>710</v>
      </c>
      <c r="H30" s="57">
        <f>VLOOKUP(H25,'Chart Data'!$A:$AQ,21,FALSE)</f>
        <v>547</v>
      </c>
      <c r="I30" s="57">
        <f>VLOOKUP(I25,'Chart Data'!$A:$AQ,21,FALSE)</f>
        <v>505</v>
      </c>
      <c r="J30" s="57">
        <f>VLOOKUP(J25,'Chart Data'!$A:$AQ,21,FALSE)</f>
        <v>512</v>
      </c>
      <c r="K30" s="57">
        <f>VLOOKUP(K25,'Chart Data'!$A:$AQ,21,FALSE)</f>
        <v>592</v>
      </c>
      <c r="L30" s="57">
        <f>VLOOKUP(L25,'Chart Data'!$A:$AQ,21,FALSE)</f>
        <v>418</v>
      </c>
      <c r="M30" s="57">
        <f>VLOOKUP(M25,'Chart Data'!$A:$AQ,21,FALSE)</f>
        <v>417</v>
      </c>
      <c r="N30" s="57">
        <f>VLOOKUP(N25,'Chart Data'!$A:$AQ,21,FALSE)</f>
        <v>407</v>
      </c>
      <c r="O30" s="57">
        <f>VLOOKUP(O25,'Chart Data'!$A:$AQ,21,FALSE)</f>
        <v>515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67" t="s">
        <v>112</v>
      </c>
      <c r="C31" s="168"/>
      <c r="D31" s="58">
        <f>VLOOKUP(D25,'Chart Data'!$A:$AQ,22,FALSE)</f>
        <v>1.1148327750837374E-2</v>
      </c>
      <c r="E31" s="58">
        <f>VLOOKUP(E25,'Chart Data'!$A:$AQ,22,FALSE)</f>
        <v>1.1790806660684017E-2</v>
      </c>
      <c r="F31" s="58">
        <f>VLOOKUP(F25,'Chart Data'!$A:$AQ,22,FALSE)</f>
        <v>1.3226791076258779E-2</v>
      </c>
      <c r="G31" s="58">
        <f>VLOOKUP(G25,'Chart Data'!$A:$AQ,22,FALSE)</f>
        <v>1.7479504665304416E-2</v>
      </c>
      <c r="H31" s="58">
        <f>VLOOKUP(H25,'Chart Data'!$A:$AQ,22,FALSE)</f>
        <v>1.3462295727505414E-2</v>
      </c>
      <c r="I31" s="58">
        <f>VLOOKUP(I25,'Chart Data'!$A:$AQ,22,FALSE)</f>
        <v>1.2442101113629644E-2</v>
      </c>
      <c r="J31" s="58">
        <f>VLOOKUP(J25,'Chart Data'!$A:$AQ,22,FALSE)</f>
        <v>1.2548404489975981E-2</v>
      </c>
      <c r="K31" s="58">
        <f>VLOOKUP(K25,'Chart Data'!$A:$AQ,22,FALSE)</f>
        <v>1.4308502924541984E-2</v>
      </c>
      <c r="L31" s="58">
        <f>VLOOKUP(L25,'Chart Data'!$A:$AQ,22,FALSE)</f>
        <v>1.0055570256681662E-2</v>
      </c>
      <c r="M31" s="58">
        <f>VLOOKUP(M25,'Chart Data'!$A:$AQ,22,FALSE)</f>
        <v>9.9908955867554754E-3</v>
      </c>
      <c r="N31" s="58">
        <f>VLOOKUP(N25,'Chart Data'!$A:$AQ,22,FALSE)</f>
        <v>9.6215219498357006E-3</v>
      </c>
      <c r="O31" s="58">
        <f>VLOOKUP(O25,'Chart Data'!$A:$AQ,22,FALSE)</f>
        <v>1.198343261355175E-2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x14ac:dyDescent="0.3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x14ac:dyDescent="0.3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</sheetData>
  <mergeCells count="21">
    <mergeCell ref="B29:C29"/>
    <mergeCell ref="B30:C30"/>
    <mergeCell ref="B31:C31"/>
    <mergeCell ref="B26:C26"/>
    <mergeCell ref="B27:C27"/>
    <mergeCell ref="B1:P1"/>
    <mergeCell ref="B2:P2"/>
    <mergeCell ref="B25:C25"/>
    <mergeCell ref="B28:C28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</mergeCells>
  <hyperlinks>
    <hyperlink ref="Q7" location="'GS-1101 Trend'!A1" display="GS-1101 Trend" xr:uid="{AEE52BB6-CB59-4AB6-A633-9B1F052E130B}"/>
    <hyperlink ref="Q9" location="'GS-1102 Trend'!A1" display="GS-1102 Trend" xr:uid="{BC8D6C41-8E2C-4503-A206-D6FFB0A3D1B9}"/>
    <hyperlink ref="Q11" location="'1101 Personnel Actions'!A1" display="1101 Personnel Actions" xr:uid="{F4962CCC-D0C1-4EEF-81F5-3CF80294ABA4}"/>
    <hyperlink ref="Q13" location="'1102 Personnel Actions'!A1" display="1102 Personnel Actions" xr:uid="{340737C1-3D57-4453-A07A-D31ACA3A5E5A}"/>
    <hyperlink ref="Q15" location="'Total Attrition'!A1" display="Total Attrition" xr:uid="{ADF7CD3A-564D-437E-BA27-D66535BBB969}"/>
    <hyperlink ref="Q17" location="'Attrition by Retirement'!A1" display="Attrition by Retirement" xr:uid="{4D5FCCBF-640A-405B-A457-AD1A10750643}"/>
    <hyperlink ref="Q19" location="Accessions!A1" display="Accessions" xr:uid="{6332A7C0-1476-4849-A562-80CFA6FD0111}"/>
    <hyperlink ref="Q5:S5" location="'Introduction Page'!A1" display="Return to the Main Page" xr:uid="{C55480F1-0FE8-4DB6-ACBD-8FFD196442B5}"/>
    <hyperlink ref="Q23" location="'Historical Data'!A1" display="Historical Data" xr:uid="{8D24EC05-3EC3-4D35-B2EE-BBEFFBDE4B32}"/>
    <hyperlink ref="Q21:S21" location="Transfers!A1" display="Transfers" xr:uid="{23E6A17E-E016-42E6-8570-42E3D7894861}"/>
    <hyperlink ref="Q25:S25" r:id="rId1" display="https://www.fedscope.opm.gov/datadefn/index.asp" xr:uid="{9001A930-7CAE-4718-B0DC-C0E6345F1711}"/>
  </hyperlinks>
  <pageMargins left="0.7" right="0.7" top="0.75" bottom="0.75" header="0.3" footer="0.3"/>
  <pageSetup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8323-EF3F-4745-9BE3-C67777CD9982}">
  <dimension ref="A1:AA43"/>
  <sheetViews>
    <sheetView showGridLines="0" showRowColHeaders="0" zoomScaleNormal="100" workbookViewId="0">
      <selection activeCell="Q27" sqref="Q27"/>
    </sheetView>
  </sheetViews>
  <sheetFormatPr defaultRowHeight="14.5" x14ac:dyDescent="0.35"/>
  <cols>
    <col min="1" max="1" width="5.54296875" style="16" customWidth="1"/>
    <col min="2" max="2" width="5.54296875" customWidth="1"/>
    <col min="21" max="27" width="15.54296875" customWidth="1"/>
  </cols>
  <sheetData>
    <row r="1" spans="1:27" s="29" customFormat="1" ht="28.5" x14ac:dyDescent="0.65">
      <c r="B1" s="103" t="s">
        <v>69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  <c r="S1" s="49"/>
    </row>
    <row r="2" spans="1:27" s="29" customFormat="1" ht="29" thickBot="1" x14ac:dyDescent="0.7">
      <c r="A2" s="30"/>
      <c r="B2" s="104" t="s">
        <v>124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0"/>
      <c r="R2" s="50"/>
      <c r="S2" s="50"/>
      <c r="T2" s="30"/>
      <c r="U2" s="30"/>
      <c r="V2" s="30"/>
      <c r="W2" s="30"/>
      <c r="X2" s="30"/>
      <c r="Y2" s="30"/>
      <c r="Z2" s="30"/>
      <c r="AA2" s="30"/>
    </row>
    <row r="3" spans="1:27" ht="15" customHeigh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2" t="s">
        <v>133</v>
      </c>
      <c r="R3" s="152"/>
      <c r="S3" s="152"/>
      <c r="T3" s="16"/>
      <c r="U3" s="16"/>
      <c r="V3" s="16"/>
      <c r="W3" s="16"/>
      <c r="X3" s="16"/>
      <c r="Y3" s="16"/>
      <c r="Z3" s="16"/>
      <c r="AA3" s="16"/>
    </row>
    <row r="4" spans="1:27" ht="14.5" customHeight="1" x14ac:dyDescent="0.3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3"/>
      <c r="R4" s="153"/>
      <c r="S4" s="153"/>
      <c r="T4" s="16"/>
      <c r="U4" s="16"/>
      <c r="V4" s="16"/>
      <c r="W4" s="16"/>
      <c r="X4" s="16"/>
      <c r="Y4" s="16"/>
      <c r="Z4" s="16"/>
      <c r="AA4" s="16"/>
    </row>
    <row r="5" spans="1:27" ht="15" customHeight="1" x14ac:dyDescent="0.3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50" t="s">
        <v>86</v>
      </c>
      <c r="R5" s="150"/>
      <c r="S5" s="150"/>
      <c r="T5" s="59"/>
      <c r="U5" s="16"/>
      <c r="V5" s="16"/>
      <c r="W5" s="16"/>
      <c r="X5" s="16"/>
      <c r="Y5" s="16"/>
      <c r="Z5" s="16"/>
      <c r="AA5" s="16"/>
    </row>
    <row r="6" spans="1:27" x14ac:dyDescent="0.3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0"/>
      <c r="R6" s="59"/>
      <c r="S6" s="59"/>
      <c r="T6" s="59"/>
      <c r="U6" s="16"/>
      <c r="V6" s="16"/>
      <c r="W6" s="16"/>
      <c r="X6" s="16"/>
      <c r="Y6" s="16"/>
      <c r="Z6" s="16"/>
      <c r="AA6" s="16"/>
    </row>
    <row r="7" spans="1:27" x14ac:dyDescent="0.3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1" t="s">
        <v>97</v>
      </c>
      <c r="R7" s="151"/>
      <c r="S7" s="151"/>
      <c r="T7" s="59"/>
      <c r="U7" s="16"/>
      <c r="V7" s="16"/>
      <c r="W7" s="16"/>
      <c r="X7" s="16"/>
      <c r="Y7" s="16"/>
      <c r="Z7" s="16"/>
      <c r="AA7" s="16"/>
    </row>
    <row r="8" spans="1:27" x14ac:dyDescent="0.3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0"/>
      <c r="R8" s="59"/>
      <c r="S8" s="59"/>
      <c r="T8" s="59"/>
      <c r="U8" s="16"/>
      <c r="V8" s="16"/>
      <c r="W8" s="16"/>
      <c r="X8" s="16"/>
      <c r="Y8" s="16"/>
      <c r="Z8" s="16"/>
      <c r="AA8" s="16"/>
    </row>
    <row r="9" spans="1:27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51" t="s">
        <v>98</v>
      </c>
      <c r="R9" s="151"/>
      <c r="S9" s="151"/>
      <c r="T9" s="59"/>
      <c r="U9" s="16"/>
      <c r="V9" s="16"/>
      <c r="W9" s="16"/>
      <c r="X9" s="16"/>
      <c r="Y9" s="16"/>
      <c r="Z9" s="16"/>
      <c r="AA9" s="16"/>
    </row>
    <row r="10" spans="1:27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59"/>
      <c r="R10" s="61"/>
      <c r="S10" s="59"/>
      <c r="T10" s="59"/>
      <c r="U10" s="16"/>
      <c r="V10" s="16"/>
      <c r="W10" s="16"/>
      <c r="X10" s="16"/>
      <c r="Y10" s="16"/>
      <c r="Z10" s="16"/>
      <c r="AA10" s="16"/>
    </row>
    <row r="11" spans="1:27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51" t="s">
        <v>87</v>
      </c>
      <c r="R11" s="151"/>
      <c r="S11" s="151"/>
      <c r="T11" s="59"/>
      <c r="U11" s="16"/>
      <c r="V11" s="16"/>
      <c r="W11" s="16"/>
      <c r="X11" s="16"/>
      <c r="Y11" s="16"/>
      <c r="Z11" s="16"/>
      <c r="AA11" s="16"/>
    </row>
    <row r="12" spans="1:27" x14ac:dyDescent="0.3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9"/>
      <c r="R12" s="61"/>
      <c r="S12" s="59"/>
      <c r="T12" s="59"/>
      <c r="U12" s="16"/>
      <c r="V12" s="16"/>
      <c r="W12" s="16"/>
      <c r="X12" s="16"/>
      <c r="Y12" s="16"/>
      <c r="Z12" s="16"/>
      <c r="AA12" s="16"/>
    </row>
    <row r="13" spans="1:27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51" t="s">
        <v>88</v>
      </c>
      <c r="R13" s="151"/>
      <c r="S13" s="151"/>
      <c r="T13" s="59"/>
      <c r="U13" s="16"/>
      <c r="V13" s="16"/>
      <c r="W13" s="16"/>
      <c r="X13" s="16"/>
      <c r="Y13" s="16"/>
      <c r="Z13" s="16"/>
      <c r="AA13" s="16"/>
    </row>
    <row r="14" spans="1:2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9"/>
      <c r="R14" s="61"/>
      <c r="S14" s="59"/>
      <c r="T14" s="59"/>
      <c r="U14" s="16"/>
      <c r="V14" s="16"/>
      <c r="W14" s="16"/>
      <c r="X14" s="16"/>
      <c r="Y14" s="16"/>
      <c r="Z14" s="16"/>
      <c r="AA14" s="16"/>
    </row>
    <row r="15" spans="1:27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1" t="s">
        <v>81</v>
      </c>
      <c r="R15" s="151"/>
      <c r="S15" s="151"/>
      <c r="T15" s="59"/>
      <c r="U15" s="16"/>
      <c r="V15" s="16"/>
      <c r="W15" s="16"/>
      <c r="X15" s="16"/>
      <c r="Y15" s="16"/>
      <c r="Z15" s="16"/>
      <c r="AA15" s="16"/>
    </row>
    <row r="16" spans="1:27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59"/>
      <c r="R16" s="61"/>
      <c r="S16" s="59"/>
      <c r="T16" s="59"/>
      <c r="U16" s="16"/>
      <c r="V16" s="16"/>
      <c r="W16" s="16"/>
      <c r="X16" s="16"/>
      <c r="Y16" s="16"/>
      <c r="Z16" s="16"/>
      <c r="AA16" s="16"/>
    </row>
    <row r="17" spans="2:27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51" t="s">
        <v>82</v>
      </c>
      <c r="R17" s="151"/>
      <c r="S17" s="151"/>
      <c r="T17" s="59"/>
      <c r="U17" s="16"/>
      <c r="V17" s="16"/>
      <c r="W17" s="16"/>
      <c r="X17" s="16"/>
      <c r="Y17" s="16"/>
      <c r="Z17" s="16"/>
      <c r="AA17" s="16"/>
    </row>
    <row r="18" spans="2:27" x14ac:dyDescent="0.3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59"/>
      <c r="R18" s="61"/>
      <c r="S18" s="59"/>
      <c r="T18" s="59"/>
      <c r="U18" s="16"/>
      <c r="V18" s="16"/>
      <c r="W18" s="16"/>
      <c r="X18" s="16"/>
      <c r="Y18" s="16"/>
      <c r="Z18" s="16"/>
      <c r="AA18" s="16"/>
    </row>
    <row r="19" spans="2:27" x14ac:dyDescent="0.3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1" t="s">
        <v>83</v>
      </c>
      <c r="R19" s="151"/>
      <c r="S19" s="151"/>
      <c r="T19" s="59"/>
      <c r="U19" s="16"/>
      <c r="V19" s="16"/>
      <c r="W19" s="16"/>
      <c r="X19" s="16"/>
      <c r="Y19" s="16"/>
      <c r="Z19" s="16"/>
      <c r="AA19" s="16"/>
    </row>
    <row r="20" spans="2:27" x14ac:dyDescent="0.3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59"/>
      <c r="R20" s="61"/>
      <c r="S20" s="59"/>
      <c r="T20" s="59"/>
      <c r="U20" s="16"/>
      <c r="V20" s="16"/>
      <c r="W20" s="16"/>
      <c r="X20" s="16"/>
      <c r="Y20" s="16"/>
      <c r="Z20" s="16"/>
      <c r="AA20" s="16"/>
    </row>
    <row r="21" spans="2:27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51" t="s">
        <v>158</v>
      </c>
      <c r="R21" s="151"/>
      <c r="S21" s="151"/>
      <c r="T21" s="59"/>
      <c r="U21" s="16"/>
      <c r="V21" s="16"/>
      <c r="W21" s="16"/>
      <c r="X21" s="16"/>
      <c r="Y21" s="16"/>
      <c r="Z21" s="16"/>
      <c r="AA21" s="16"/>
    </row>
    <row r="22" spans="2:27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59"/>
      <c r="R22" s="61"/>
      <c r="S22" s="59"/>
      <c r="T22" s="59"/>
      <c r="U22" s="16"/>
      <c r="V22" s="16"/>
      <c r="W22" s="16"/>
      <c r="X22" s="16"/>
      <c r="Y22" s="16"/>
      <c r="Z22" s="16"/>
      <c r="AA22" s="16"/>
    </row>
    <row r="23" spans="2:27" x14ac:dyDescent="0.3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5" t="s">
        <v>84</v>
      </c>
      <c r="R23" s="155"/>
      <c r="S23" s="155"/>
      <c r="T23" s="59"/>
      <c r="U23" s="16"/>
      <c r="V23" s="16"/>
      <c r="W23" s="16"/>
      <c r="X23" s="16"/>
      <c r="Y23" s="16"/>
      <c r="Z23" s="16"/>
      <c r="AA23" s="16"/>
    </row>
    <row r="24" spans="2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59"/>
      <c r="R24" s="59"/>
      <c r="S24" s="59"/>
      <c r="T24" s="16"/>
      <c r="U24" s="16"/>
      <c r="V24" s="16"/>
      <c r="W24" s="16"/>
      <c r="X24" s="16"/>
      <c r="Y24" s="16"/>
      <c r="Z24" s="16"/>
      <c r="AA24" s="16"/>
    </row>
    <row r="25" spans="2:27" ht="30" customHeight="1" x14ac:dyDescent="0.35">
      <c r="B25" s="144"/>
      <c r="C25" s="145"/>
      <c r="D25" s="53" t="s">
        <v>136</v>
      </c>
      <c r="E25" s="54" t="s">
        <v>137</v>
      </c>
      <c r="F25" s="53" t="s">
        <v>138</v>
      </c>
      <c r="G25" s="55" t="s">
        <v>139</v>
      </c>
      <c r="H25" s="52" t="s">
        <v>140</v>
      </c>
      <c r="I25" s="52" t="s">
        <v>141</v>
      </c>
      <c r="J25" s="53" t="s">
        <v>162</v>
      </c>
      <c r="K25" s="54" t="s">
        <v>163</v>
      </c>
      <c r="L25" s="52" t="s">
        <v>177</v>
      </c>
      <c r="M25" s="52" t="s">
        <v>178</v>
      </c>
      <c r="N25" s="52" t="s">
        <v>179</v>
      </c>
      <c r="O25" s="56" t="s">
        <v>183</v>
      </c>
      <c r="P25" s="16"/>
      <c r="Q25" s="154" t="s">
        <v>160</v>
      </c>
      <c r="R25" s="155"/>
      <c r="S25" s="155"/>
      <c r="T25" s="16"/>
      <c r="U25" s="16"/>
      <c r="V25" s="16"/>
      <c r="W25" s="16"/>
      <c r="X25" s="16"/>
      <c r="Y25" s="16"/>
      <c r="Z25" s="16"/>
      <c r="AA25" s="16"/>
    </row>
    <row r="26" spans="2:27" ht="25" customHeight="1" x14ac:dyDescent="0.35">
      <c r="B26" s="169" t="s">
        <v>118</v>
      </c>
      <c r="C26" s="170"/>
      <c r="D26" s="57">
        <f>VLOOKUP(D25,'Chart Data'!$A:$AQ,26,FALSE)</f>
        <v>503</v>
      </c>
      <c r="E26" s="57">
        <f>VLOOKUP(E25,'Chart Data'!$A:$AQ,26,FALSE)</f>
        <v>458</v>
      </c>
      <c r="F26" s="57">
        <f>VLOOKUP(F25,'Chart Data'!$A:$AQ,26,FALSE)</f>
        <v>539</v>
      </c>
      <c r="G26" s="57">
        <f>VLOOKUP(G25,'Chart Data'!$A:$AQ,26,FALSE)</f>
        <v>910</v>
      </c>
      <c r="H26" s="57">
        <f>VLOOKUP(H25,'Chart Data'!$A:$AQ,26,FALSE)</f>
        <v>497</v>
      </c>
      <c r="I26" s="57">
        <f>VLOOKUP(I25,'Chart Data'!$A:$AQ,26,FALSE)</f>
        <v>447</v>
      </c>
      <c r="J26" s="57">
        <f>VLOOKUP(J25,'Chart Data'!$A:$AQ,26,FALSE)</f>
        <v>446</v>
      </c>
      <c r="K26" s="57">
        <f>VLOOKUP(K25,'Chart Data'!$A:$AQ,26,FALSE)</f>
        <v>716</v>
      </c>
      <c r="L26" s="57">
        <f>VLOOKUP(L25,'Chart Data'!$A:$AQ,26,FALSE)</f>
        <v>380</v>
      </c>
      <c r="M26" s="57">
        <f>VLOOKUP(M25,'Chart Data'!$A:$AQ,26,FALSE)</f>
        <v>421</v>
      </c>
      <c r="N26" s="57">
        <f>VLOOKUP(N25,'Chart Data'!$A:$AQ,26,FALSE)</f>
        <v>367</v>
      </c>
      <c r="O26" s="57">
        <f>VLOOKUP(O25,'Chart Data'!$A:$AQ,26,FALSE)</f>
        <v>646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25" customHeight="1" x14ac:dyDescent="0.35">
      <c r="B27" s="169" t="s">
        <v>123</v>
      </c>
      <c r="C27" s="170"/>
      <c r="D27" s="58">
        <f>VLOOKUP(D25,'Chart Data'!$A:$AQ,27,FALSE)</f>
        <v>7.107129736909034E-3</v>
      </c>
      <c r="E27" s="58">
        <f>VLOOKUP(E25,'Chart Data'!$A:$AQ,27,FALSE)</f>
        <v>6.5181811712801538E-3</v>
      </c>
      <c r="F27" s="58">
        <f>VLOOKUP(F25,'Chart Data'!$A:$AQ,27,FALSE)</f>
        <v>7.6696500988943754E-3</v>
      </c>
      <c r="G27" s="58">
        <f>VLOOKUP(G25,'Chart Data'!$A:$AQ,27,FALSE)</f>
        <v>1.2871287128712871E-2</v>
      </c>
      <c r="H27" s="58">
        <f>VLOOKUP(H25,'Chart Data'!$A:$AQ,27,FALSE)</f>
        <v>7.0197740112994348E-3</v>
      </c>
      <c r="I27" s="58">
        <f>VLOOKUP(I25,'Chart Data'!$A:$AQ,27,FALSE)</f>
        <v>6.3526803479051789E-3</v>
      </c>
      <c r="J27" s="58">
        <f>VLOOKUP(J25,'Chart Data'!$A:$AQ,27,FALSE)</f>
        <v>6.3159385399702613E-3</v>
      </c>
      <c r="K27" s="58">
        <f>VLOOKUP(K25,'Chart Data'!$A:$AQ,27,FALSE)</f>
        <v>1.0036163830562642E-2</v>
      </c>
      <c r="L27" s="58">
        <f>VLOOKUP(L25,'Chart Data'!$A:$AQ,27,FALSE)</f>
        <v>5.2871772039180765E-3</v>
      </c>
      <c r="M27" s="58">
        <f>VLOOKUP(M25,'Chart Data'!$A:$AQ,27,FALSE)</f>
        <v>5.8216715526301236E-3</v>
      </c>
      <c r="N27" s="58">
        <f>VLOOKUP(N25,'Chart Data'!$A:$AQ,27,FALSE)</f>
        <v>5.0243688735556648E-3</v>
      </c>
      <c r="O27" s="58">
        <f>VLOOKUP(O25,'Chart Data'!$A:$AQ,27,FALSE)</f>
        <v>8.7193607601770869E-3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25" customHeight="1" x14ac:dyDescent="0.35">
      <c r="B28" s="146" t="s">
        <v>119</v>
      </c>
      <c r="C28" s="158"/>
      <c r="D28" s="57">
        <f>VLOOKUP(D25,'Chart Data'!$A:$AQ,28,FALSE)</f>
        <v>259</v>
      </c>
      <c r="E28" s="57">
        <f>VLOOKUP(E25,'Chart Data'!$A:$AQ,28,FALSE)</f>
        <v>234</v>
      </c>
      <c r="F28" s="57">
        <f>VLOOKUP(F25,'Chart Data'!$A:$AQ,28,FALSE)</f>
        <v>279</v>
      </c>
      <c r="G28" s="57">
        <f>VLOOKUP(G25,'Chart Data'!$A:$AQ,28,FALSE)</f>
        <v>481</v>
      </c>
      <c r="H28" s="57">
        <f>VLOOKUP(H25,'Chart Data'!$A:$AQ,28,FALSE)</f>
        <v>254</v>
      </c>
      <c r="I28" s="57">
        <f>VLOOKUP(I25,'Chart Data'!$A:$AQ,28,FALSE)</f>
        <v>219</v>
      </c>
      <c r="J28" s="57">
        <f>VLOOKUP(J25,'Chart Data'!$A:$AQ,28,FALSE)</f>
        <v>222</v>
      </c>
      <c r="K28" s="57">
        <f>VLOOKUP(K25,'Chart Data'!$A:$AQ,28,FALSE)</f>
        <v>353</v>
      </c>
      <c r="L28" s="57">
        <f>VLOOKUP(L25,'Chart Data'!$A:$AQ,28,FALSE)</f>
        <v>181</v>
      </c>
      <c r="M28" s="57">
        <f>VLOOKUP(M25,'Chart Data'!$A:$AQ,28,FALSE)</f>
        <v>214</v>
      </c>
      <c r="N28" s="57">
        <f>VLOOKUP(N25,'Chart Data'!$A:$AQ,28,FALSE)</f>
        <v>204</v>
      </c>
      <c r="O28" s="57">
        <f>VLOOKUP(O25,'Chart Data'!$A:$AQ,28,FALSE)</f>
        <v>324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ht="25" customHeight="1" x14ac:dyDescent="0.35">
      <c r="B29" s="148" t="s">
        <v>120</v>
      </c>
      <c r="C29" s="156"/>
      <c r="D29" s="58">
        <f>VLOOKUP(D25,'Chart Data'!$A:$AQ,29,FALSE)</f>
        <v>8.4178367134685392E-3</v>
      </c>
      <c r="E29" s="58">
        <f>VLOOKUP(E25,'Chart Data'!$A:$AQ,29,FALSE)</f>
        <v>7.7614514577597927E-3</v>
      </c>
      <c r="F29" s="58">
        <f>VLOOKUP(F25,'Chart Data'!$A:$AQ,29,FALSE)</f>
        <v>9.3062041360907274E-3</v>
      </c>
      <c r="G29" s="58">
        <f>VLOOKUP(G25,'Chart Data'!$A:$AQ,29,FALSE)</f>
        <v>1.5990159901599015E-2</v>
      </c>
      <c r="H29" s="58">
        <f>VLOOKUP(H25,'Chart Data'!$A:$AQ,29,FALSE)</f>
        <v>8.4195173693980378E-3</v>
      </c>
      <c r="I29" s="58">
        <f>VLOOKUP(I25,'Chart Data'!$A:$AQ,29,FALSE)</f>
        <v>7.3549167114454594E-3</v>
      </c>
      <c r="J29" s="58">
        <f>VLOOKUP(J25,'Chart Data'!$A:$AQ,29,FALSE)</f>
        <v>7.4464159930231781E-3</v>
      </c>
      <c r="K29" s="58">
        <f>VLOOKUP(K25,'Chart Data'!$A:$AQ,29,FALSE)</f>
        <v>1.1779231179925253E-2</v>
      </c>
      <c r="L29" s="58">
        <f>VLOOKUP(L25,'Chart Data'!$A:$AQ,29,FALSE)</f>
        <v>5.9730059730059726E-3</v>
      </c>
      <c r="M29" s="58">
        <f>VLOOKUP(M25,'Chart Data'!$A:$AQ,29,FALSE)</f>
        <v>6.9984956504676567E-3</v>
      </c>
      <c r="N29" s="58">
        <f>VLOOKUP(N25,'Chart Data'!$A:$AQ,29,FALSE)</f>
        <v>6.6356568975051234E-3</v>
      </c>
      <c r="O29" s="58">
        <f>VLOOKUP(O25,'Chart Data'!$A:$AQ,29,FALSE)</f>
        <v>1.041398817176652E-2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ht="25" customHeight="1" x14ac:dyDescent="0.35">
      <c r="B30" s="148" t="s">
        <v>121</v>
      </c>
      <c r="C30" s="156"/>
      <c r="D30" s="57">
        <f>VLOOKUP(D25,'Chart Data'!$A:$AQ,30,FALSE)</f>
        <v>244</v>
      </c>
      <c r="E30" s="57">
        <f>VLOOKUP(E25,'Chart Data'!$A:$AQ,30,FALSE)</f>
        <v>224</v>
      </c>
      <c r="F30" s="57">
        <f>VLOOKUP(F25,'Chart Data'!$A:$AQ,30,FALSE)</f>
        <v>260</v>
      </c>
      <c r="G30" s="57">
        <f>VLOOKUP(G25,'Chart Data'!$A:$AQ,30,FALSE)</f>
        <v>429</v>
      </c>
      <c r="H30" s="57">
        <f>VLOOKUP(H25,'Chart Data'!$A:$AQ,30,FALSE)</f>
        <v>243</v>
      </c>
      <c r="I30" s="57">
        <f>VLOOKUP(I25,'Chart Data'!$A:$AQ,30,FALSE)</f>
        <v>228</v>
      </c>
      <c r="J30" s="57">
        <f>VLOOKUP(J25,'Chart Data'!$A:$AQ,30,FALSE)</f>
        <v>224</v>
      </c>
      <c r="K30" s="57">
        <f>VLOOKUP(K25,'Chart Data'!$A:$AQ,30,FALSE)</f>
        <v>363</v>
      </c>
      <c r="L30" s="57">
        <f>VLOOKUP(L25,'Chart Data'!$A:$AQ,30,FALSE)</f>
        <v>199</v>
      </c>
      <c r="M30" s="57">
        <f>VLOOKUP(M25,'Chart Data'!$A:$AQ,30,FALSE)</f>
        <v>207</v>
      </c>
      <c r="N30" s="57">
        <f>VLOOKUP(N25,'Chart Data'!$A:$AQ,30,FALSE)</f>
        <v>163</v>
      </c>
      <c r="O30" s="57">
        <f>VLOOKUP(O25,'Chart Data'!$A:$AQ,30,FALSE)</f>
        <v>322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ht="25" customHeight="1" x14ac:dyDescent="0.35">
      <c r="B31" s="167" t="s">
        <v>122</v>
      </c>
      <c r="C31" s="168"/>
      <c r="D31" s="58">
        <f>VLOOKUP(D25,'Chart Data'!$A:$AQ,31,FALSE)</f>
        <v>6.0990851372294159E-3</v>
      </c>
      <c r="E31" s="58">
        <f>VLOOKUP(E25,'Chart Data'!$A:$AQ,31,FALSE)</f>
        <v>5.583806959816532E-3</v>
      </c>
      <c r="F31" s="58">
        <f>VLOOKUP(F25,'Chart Data'!$A:$AQ,31,FALSE)</f>
        <v>6.4520932079311115E-3</v>
      </c>
      <c r="G31" s="58">
        <f>VLOOKUP(G25,'Chart Data'!$A:$AQ,31,FALSE)</f>
        <v>1.0561559861148723E-2</v>
      </c>
      <c r="H31" s="58">
        <f>VLOOKUP(H25,'Chart Data'!$A:$AQ,31,FALSE)</f>
        <v>5.9805079740106321E-3</v>
      </c>
      <c r="I31" s="58">
        <f>VLOOKUP(I25,'Chart Data'!$A:$AQ,31,FALSE)</f>
        <v>5.6174238691238786E-3</v>
      </c>
      <c r="J31" s="58">
        <f>VLOOKUP(J25,'Chart Data'!$A:$AQ,31,FALSE)</f>
        <v>5.4899269643644919E-3</v>
      </c>
      <c r="K31" s="58">
        <f>VLOOKUP(K25,'Chart Data'!$A:$AQ,31,FALSE)</f>
        <v>8.7736259486634119E-3</v>
      </c>
      <c r="L31" s="58">
        <f>VLOOKUP(L25,'Chart Data'!$A:$AQ,31,FALSE)</f>
        <v>4.7872212466020352E-3</v>
      </c>
      <c r="M31" s="58">
        <f>VLOOKUP(M25,'Chart Data'!$A:$AQ,31,FALSE)</f>
        <v>4.9595093200440849E-3</v>
      </c>
      <c r="N31" s="58">
        <f>VLOOKUP(N25,'Chart Data'!$A:$AQ,31,FALSE)</f>
        <v>3.8533368005484502E-3</v>
      </c>
      <c r="O31" s="58">
        <f>VLOOKUP(O25,'Chart Data'!$A:$AQ,31,FALSE)</f>
        <v>7.4925539836187636E-3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3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x14ac:dyDescent="0.3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x14ac:dyDescent="0.3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x14ac:dyDescent="0.3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 x14ac:dyDescent="0.3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3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 x14ac:dyDescent="0.3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x14ac:dyDescent="0.3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 x14ac:dyDescent="0.3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 x14ac:dyDescent="0.3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</sheetData>
  <mergeCells count="21">
    <mergeCell ref="B1:P1"/>
    <mergeCell ref="B2:P2"/>
    <mergeCell ref="B25:C25"/>
    <mergeCell ref="B26:C26"/>
    <mergeCell ref="Q5:S5"/>
    <mergeCell ref="Q7:S7"/>
    <mergeCell ref="Q9:S9"/>
    <mergeCell ref="Q11:S11"/>
    <mergeCell ref="Q13:S13"/>
    <mergeCell ref="Q15:S15"/>
    <mergeCell ref="Q17:S17"/>
    <mergeCell ref="Q19:S19"/>
    <mergeCell ref="Q21:S21"/>
    <mergeCell ref="Q3:S4"/>
    <mergeCell ref="Q23:S23"/>
    <mergeCell ref="Q25:S25"/>
    <mergeCell ref="B27:C27"/>
    <mergeCell ref="B28:C28"/>
    <mergeCell ref="B29:C29"/>
    <mergeCell ref="B30:C30"/>
    <mergeCell ref="B31:C31"/>
  </mergeCells>
  <hyperlinks>
    <hyperlink ref="Q7" location="'GS-1101 Trend'!A1" display="GS-1101 Trend" xr:uid="{B78E9782-589E-4DC6-B63F-58309BBC7764}"/>
    <hyperlink ref="Q9" location="'GS-1102 Trend'!A1" display="GS-1102 Trend" xr:uid="{51C42414-F7AF-4C95-9493-71DC5C5A85A3}"/>
    <hyperlink ref="Q11" location="'1101 Personnel Actions'!A1" display="1101 Personnel Actions" xr:uid="{BCED1495-377D-415A-BE97-AC1D9A2F436E}"/>
    <hyperlink ref="Q13" location="'1102 Personnel Actions'!A1" display="1102 Personnel Actions" xr:uid="{9C5D68B3-2B7E-4A9E-AEDF-2B35F630C903}"/>
    <hyperlink ref="Q15" location="'Total Attrition'!A1" display="Total Attrition" xr:uid="{8B6BD1D9-D391-4BDF-85C8-4EC2CAB3A913}"/>
    <hyperlink ref="Q17" location="'Attrition by Retirement'!A1" display="Attrition by Retirement" xr:uid="{62F51EA6-1B0B-46E4-AE0A-214330FB4075}"/>
    <hyperlink ref="Q19" location="Accessions!A1" display="Accessions" xr:uid="{48F56692-6493-4AC3-8361-1D8E8D792A58}"/>
    <hyperlink ref="Q5:S5" location="'Introduction Page'!A1" display="Return to the Main Page" xr:uid="{A252D419-EE52-43C2-A6AF-001F0D981C48}"/>
    <hyperlink ref="Q23" location="'Historical Data'!A1" display="Historical Data" xr:uid="{38A0C3DE-5A30-4CD6-B37D-55D096F4DFF0}"/>
    <hyperlink ref="Q21:S21" location="Transfers!A1" display="Transfers" xr:uid="{8A615835-7E87-45D3-96F3-1DA5CA1B96D1}"/>
    <hyperlink ref="Q25:S25" r:id="rId1" display="https://www.fedscope.opm.gov/datadefn/index.asp" xr:uid="{8002372B-489E-467B-BB2A-E2A2BCAF6915}"/>
  </hyperlinks>
  <pageMargins left="0.7" right="0.7" top="0.75" bottom="0.75" header="0.3" footer="0.3"/>
  <pageSetup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820E8887DE6C4382CC86F35F99DBB2" ma:contentTypeVersion="9" ma:contentTypeDescription="Create a new document." ma:contentTypeScope="" ma:versionID="b22c1ffbb14dd1a7eba8ed4c4e620261">
  <xsd:schema xmlns:xsd="http://www.w3.org/2001/XMLSchema" xmlns:xs="http://www.w3.org/2001/XMLSchema" xmlns:p="http://schemas.microsoft.com/office/2006/metadata/properties" xmlns:ns3="e16f234c-28ac-4c86-8499-95b7f16aed7f" targetNamespace="http://schemas.microsoft.com/office/2006/metadata/properties" ma:root="true" ma:fieldsID="b58106c7a946035624249e90e5c5f7de" ns3:_="">
    <xsd:import namespace="e16f234c-28ac-4c86-8499-95b7f16aed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f234c-28ac-4c86-8499-95b7f16ae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74BD1-E6D4-429D-BABF-0EF2305D9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3B6C3-504A-4091-AC39-F5DF6740A6DB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16f234c-28ac-4c86-8499-95b7f16aed7f"/>
  </ds:schemaRefs>
</ds:datastoreItem>
</file>

<file path=customXml/itemProps3.xml><?xml version="1.0" encoding="utf-8"?>
<ds:datastoreItem xmlns:ds="http://schemas.openxmlformats.org/officeDocument/2006/customXml" ds:itemID="{AE4BEEC1-B233-4ED0-AC9A-9E3C5174C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f234c-28ac-4c86-8499-95b7f16ae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 Page</vt:lpstr>
      <vt:lpstr>Historical Data</vt:lpstr>
      <vt:lpstr>Chart Data</vt:lpstr>
      <vt:lpstr>GS-1101 Trend</vt:lpstr>
      <vt:lpstr>GS-1102 Trend</vt:lpstr>
      <vt:lpstr>1101 Personnel Actions</vt:lpstr>
      <vt:lpstr>1102 Personnel Actions</vt:lpstr>
      <vt:lpstr>Total Attrition</vt:lpstr>
      <vt:lpstr>Attrition by Retirement</vt:lpstr>
      <vt:lpstr>Accessions</vt:lpstr>
      <vt:lpstr>Transfers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Deschenes</dc:creator>
  <cp:lastModifiedBy>Sam Deschenes</cp:lastModifiedBy>
  <dcterms:created xsi:type="dcterms:W3CDTF">2020-12-11T19:55:26Z</dcterms:created>
  <dcterms:modified xsi:type="dcterms:W3CDTF">2024-08-06T15:17:13Z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0x010100C2820E8887DE6C4382CC86F35F99DBB2</vt:lpwstr>
  </property>
  <property fmtid="{D5CDD505-2E9C-101B-9397-08002B2CF9AE}" pid="3" name="MSIP_Label_67b291dd-ccf2-4eb4-b964-c1de57d6fb96_Enabled">
    <vt:lpwstr>true</vt:lpwstr>
  </property>
  <property fmtid="{D5CDD505-2E9C-101B-9397-08002B2CF9AE}" pid="4" name="MSIP_Label_67b291dd-ccf2-4eb4-b964-c1de57d6fb96_SetDate">
    <vt:lpwstr>2024-08-05T19:55:33Z</vt:lpwstr>
  </property>
  <property fmtid="{D5CDD505-2E9C-101B-9397-08002B2CF9AE}" pid="5" name="MSIP_Label_67b291dd-ccf2-4eb4-b964-c1de57d6fb96_Method">
    <vt:lpwstr>Standard</vt:lpwstr>
  </property>
  <property fmtid="{D5CDD505-2E9C-101B-9397-08002B2CF9AE}" pid="6" name="MSIP_Label_67b291dd-ccf2-4eb4-b964-c1de57d6fb96_Name">
    <vt:lpwstr>Internal</vt:lpwstr>
  </property>
  <property fmtid="{D5CDD505-2E9C-101B-9397-08002B2CF9AE}" pid="7" name="MSIP_Label_67b291dd-ccf2-4eb4-b964-c1de57d6fb96_SiteId">
    <vt:lpwstr>b089465a-fbe8-4209-b931-d3449ce9f2bc</vt:lpwstr>
  </property>
  <property fmtid="{D5CDD505-2E9C-101B-9397-08002B2CF9AE}" pid="8" name="MSIP_Label_67b291dd-ccf2-4eb4-b964-c1de57d6fb96_ActionId">
    <vt:lpwstr>80645e99-30f2-47ea-8265-b1f12bcbab8d</vt:lpwstr>
  </property>
  <property fmtid="{D5CDD505-2E9C-101B-9397-08002B2CF9AE}" pid="9" name="MSIP_Label_67b291dd-ccf2-4eb4-b964-c1de57d6fb96_ContentBits">
    <vt:lpwstr>0</vt:lpwstr>
  </property>
</Properties>
</file>